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חוברת_עבודה_זו" hidePivotFieldList="1"/>
  <mc:AlternateContent xmlns:mc="http://schemas.openxmlformats.org/markup-compatibility/2006">
    <mc:Choice Requires="x15">
      <x15ac:absPath xmlns:x15ac="http://schemas.microsoft.com/office/spreadsheetml/2010/11/ac" url="C:\Users\05985613\Desktop\קולות קוראים פר קרן\תקנים\"/>
    </mc:Choice>
  </mc:AlternateContent>
  <xr:revisionPtr revIDLastSave="0" documentId="8_{6ADF2AAF-D7E1-4DE7-ACEC-42FDCB492BDA}" xr6:coauthVersionLast="47" xr6:coauthVersionMax="47" xr10:uidLastSave="{00000000-0000-0000-0000-000000000000}"/>
  <bookViews>
    <workbookView xWindow="-120" yWindow="-120" windowWidth="29040" windowHeight="15840" tabRatio="878" xr2:uid="{00000000-000D-0000-FFFF-FFFF00000000}"/>
  </bookViews>
  <sheets>
    <sheet name="מבוא" sheetId="48" r:id="rId1"/>
    <sheet name="שאלון" sheetId="47" r:id="rId2"/>
    <sheet name="טבלת תקן" sheetId="41" state="hidden" r:id="rId3"/>
    <sheet name="ציוד כללי" sheetId="38" r:id="rId4"/>
    <sheet name="הנגשת ראייה" sheetId="35" r:id="rId5"/>
    <sheet name="הנגשת שמע" sheetId="26" r:id="rId6"/>
    <sheet name="ריפוי בעיסוק ופיזיותרפיה" sheetId="28" r:id="rId7"/>
    <sheet name="מרחב חושי" sheetId="29" r:id="rId8"/>
    <sheet name="גינון טיפולי וחממה" sheetId="30" r:id="rId9"/>
    <sheet name="חוגים" sheetId="33" r:id="rId10"/>
    <sheet name="עם הפנים לקהילה" sheetId="45" r:id="rId11"/>
    <sheet name="פנאי וטכנולוגיה מסייעת" sheetId="34" r:id="rId12"/>
    <sheet name="ציוד ייעודי" sheetId="44" r:id="rId13"/>
    <sheet name="סיכום תקציב הגוף המבקש" sheetId="51" r:id="rId14"/>
    <sheet name="סיכום לועדה" sheetId="46" r:id="rId15"/>
    <sheet name="נוסחאות" sheetId="50" state="hidden" r:id="rId16"/>
  </sheets>
  <definedNames>
    <definedName name="_xlnm._FilterDatabase" localSheetId="8" hidden="1">'גינון טיפולי וחממה'!$B$13:$B$52</definedName>
    <definedName name="_xlnm._FilterDatabase" localSheetId="4" hidden="1">'הנגשת ראייה'!$B$11:$C$11</definedName>
    <definedName name="_xlnm._FilterDatabase" localSheetId="5" hidden="1">'הנגשת שמע'!$B$13:$D$13</definedName>
    <definedName name="_xlnm._FilterDatabase" localSheetId="2" hidden="1">'טבלת תקן'!$B$10:$G$97</definedName>
    <definedName name="_xlnm._FilterDatabase" localSheetId="7" hidden="1">'מרחב חושי'!$B$12:$B$29</definedName>
    <definedName name="_xlnm._FilterDatabase" localSheetId="10" hidden="1">'עם הפנים לקהילה'!#REF!</definedName>
    <definedName name="_xlnm._FilterDatabase" localSheetId="3" hidden="1">'ציוד כללי'!$B$10:$D$97</definedName>
    <definedName name="_xlnm._FilterDatabase" localSheetId="6" hidden="1">'ריפוי בעיסוק ופיזיותרפיה'!$B$12:$B$98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47" l="1"/>
  <c r="D39" i="50"/>
  <c r="C39" i="50"/>
  <c r="D38" i="50"/>
  <c r="C38" i="50"/>
  <c r="D37" i="50"/>
  <c r="C37" i="50"/>
  <c r="D32" i="50"/>
  <c r="C32" i="50"/>
  <c r="D31" i="50"/>
  <c r="C31" i="50"/>
  <c r="D30" i="50"/>
  <c r="C30" i="50"/>
  <c r="D26" i="50"/>
  <c r="C26" i="50"/>
  <c r="D25" i="50"/>
  <c r="C25" i="50"/>
  <c r="D24" i="50"/>
  <c r="C24" i="50"/>
  <c r="C20" i="50"/>
  <c r="E7" i="50"/>
  <c r="E6" i="50"/>
  <c r="D62" i="46"/>
  <c r="C62" i="46"/>
  <c r="D61" i="46"/>
  <c r="C61" i="46"/>
  <c r="D60" i="46"/>
  <c r="C60" i="46"/>
  <c r="D56" i="46"/>
  <c r="C56" i="46"/>
  <c r="D55" i="46"/>
  <c r="C55" i="46"/>
  <c r="D54" i="46"/>
  <c r="C54" i="46"/>
  <c r="D49" i="46"/>
  <c r="C49" i="46"/>
  <c r="D48" i="46"/>
  <c r="C48" i="46"/>
  <c r="C42" i="46"/>
  <c r="C40" i="46"/>
  <c r="C39" i="46"/>
  <c r="C38" i="46"/>
  <c r="C37" i="46"/>
  <c r="C36" i="46"/>
  <c r="C35" i="46"/>
  <c r="C34" i="46"/>
  <c r="C33" i="46"/>
  <c r="C32" i="46"/>
  <c r="C31" i="46"/>
  <c r="C29" i="46"/>
  <c r="C28" i="46"/>
  <c r="C27" i="46"/>
  <c r="C26" i="46"/>
  <c r="C25" i="46"/>
  <c r="C24" i="46"/>
  <c r="C23" i="46"/>
  <c r="C22" i="46"/>
  <c r="C21" i="46"/>
  <c r="C18" i="46"/>
  <c r="C16" i="46"/>
  <c r="B16" i="46"/>
  <c r="C15" i="46"/>
  <c r="B15" i="46"/>
  <c r="C14" i="46"/>
  <c r="B14" i="46"/>
  <c r="C13" i="46"/>
  <c r="B13" i="46"/>
  <c r="C12" i="46"/>
  <c r="B12" i="46"/>
  <c r="C11" i="46"/>
  <c r="B11" i="46"/>
  <c r="C10" i="46"/>
  <c r="B10" i="46"/>
  <c r="C9" i="46"/>
  <c r="B9" i="46"/>
  <c r="C8" i="46"/>
  <c r="B8" i="46"/>
  <c r="D4" i="46"/>
  <c r="D3" i="46"/>
  <c r="D2" i="46"/>
  <c r="D62" i="51"/>
  <c r="C62" i="51"/>
  <c r="D61" i="51"/>
  <c r="C61" i="51"/>
  <c r="D60" i="51"/>
  <c r="C60" i="51"/>
  <c r="D56" i="51"/>
  <c r="C56" i="51"/>
  <c r="D55" i="51"/>
  <c r="C55" i="51"/>
  <c r="D54" i="51"/>
  <c r="C54" i="51"/>
  <c r="D49" i="51"/>
  <c r="C49" i="51"/>
  <c r="D48" i="51"/>
  <c r="C48" i="51"/>
  <c r="C42" i="51"/>
  <c r="C40" i="51"/>
  <c r="C39" i="51"/>
  <c r="C38" i="51"/>
  <c r="C37" i="51"/>
  <c r="C36" i="51"/>
  <c r="C35" i="51"/>
  <c r="C34" i="51"/>
  <c r="C33" i="51"/>
  <c r="C32" i="51"/>
  <c r="C31" i="51"/>
  <c r="C29" i="51"/>
  <c r="C28" i="51"/>
  <c r="C27" i="51"/>
  <c r="C26" i="51"/>
  <c r="C25" i="51"/>
  <c r="C24" i="51"/>
  <c r="C23" i="51"/>
  <c r="C22" i="51"/>
  <c r="C21" i="51"/>
  <c r="C18" i="51"/>
  <c r="C16" i="51"/>
  <c r="B16" i="51"/>
  <c r="C15" i="51"/>
  <c r="B15" i="51"/>
  <c r="C14" i="51"/>
  <c r="B14" i="51"/>
  <c r="C13" i="51"/>
  <c r="B13" i="51"/>
  <c r="C12" i="51"/>
  <c r="B12" i="51"/>
  <c r="C11" i="51"/>
  <c r="B11" i="51"/>
  <c r="C10" i="51"/>
  <c r="B10" i="51"/>
  <c r="C9" i="51"/>
  <c r="B9" i="51"/>
  <c r="C8" i="51"/>
  <c r="B8" i="51"/>
  <c r="D4" i="51"/>
  <c r="D3" i="51"/>
  <c r="D2" i="51"/>
  <c r="M31" i="44"/>
  <c r="H31" i="44"/>
  <c r="M30" i="44"/>
  <c r="K30" i="44"/>
  <c r="J30" i="44"/>
  <c r="H30" i="44"/>
  <c r="M29" i="44"/>
  <c r="K29" i="44"/>
  <c r="J29" i="44"/>
  <c r="H29" i="44"/>
  <c r="M28" i="44"/>
  <c r="K28" i="44"/>
  <c r="J28" i="44"/>
  <c r="H28" i="44"/>
  <c r="M27" i="44"/>
  <c r="K27" i="44"/>
  <c r="J27" i="44"/>
  <c r="H27" i="44"/>
  <c r="M26" i="44"/>
  <c r="K26" i="44"/>
  <c r="J26" i="44"/>
  <c r="H26" i="44"/>
  <c r="M25" i="44"/>
  <c r="K25" i="44"/>
  <c r="J25" i="44"/>
  <c r="H25" i="44"/>
  <c r="M24" i="44"/>
  <c r="K24" i="44"/>
  <c r="J24" i="44"/>
  <c r="H24" i="44"/>
  <c r="M23" i="44"/>
  <c r="K23" i="44"/>
  <c r="J23" i="44"/>
  <c r="H23" i="44"/>
  <c r="M22" i="44"/>
  <c r="K22" i="44"/>
  <c r="J22" i="44"/>
  <c r="H22" i="44"/>
  <c r="M21" i="44"/>
  <c r="K21" i="44"/>
  <c r="J21" i="44"/>
  <c r="H21" i="44"/>
  <c r="M20" i="44"/>
  <c r="K20" i="44"/>
  <c r="J20" i="44"/>
  <c r="H20" i="44"/>
  <c r="M19" i="44"/>
  <c r="K19" i="44"/>
  <c r="J19" i="44"/>
  <c r="H19" i="44"/>
  <c r="M18" i="44"/>
  <c r="K18" i="44"/>
  <c r="J18" i="44"/>
  <c r="H18" i="44"/>
  <c r="M17" i="44"/>
  <c r="K17" i="44"/>
  <c r="J17" i="44"/>
  <c r="H17" i="44"/>
  <c r="M16" i="44"/>
  <c r="K16" i="44"/>
  <c r="J16" i="44"/>
  <c r="H16" i="44"/>
  <c r="M15" i="44"/>
  <c r="K15" i="44"/>
  <c r="J15" i="44"/>
  <c r="H15" i="44"/>
  <c r="M14" i="44"/>
  <c r="K14" i="44"/>
  <c r="J14" i="44"/>
  <c r="H14" i="44"/>
  <c r="M13" i="44"/>
  <c r="K13" i="44"/>
  <c r="J13" i="44"/>
  <c r="H13" i="44"/>
  <c r="M12" i="44"/>
  <c r="K12" i="44"/>
  <c r="J12" i="44"/>
  <c r="H12" i="44"/>
  <c r="M11" i="44"/>
  <c r="K11" i="44"/>
  <c r="J11" i="44"/>
  <c r="H11" i="44"/>
  <c r="M22" i="34"/>
  <c r="H22" i="34"/>
  <c r="N21" i="34"/>
  <c r="M21" i="34"/>
  <c r="L21" i="34"/>
  <c r="I21" i="34"/>
  <c r="H21" i="34"/>
  <c r="E21" i="34"/>
  <c r="N20" i="34"/>
  <c r="M20" i="34"/>
  <c r="L20" i="34"/>
  <c r="I20" i="34"/>
  <c r="H20" i="34"/>
  <c r="E20" i="34"/>
  <c r="N19" i="34"/>
  <c r="M19" i="34"/>
  <c r="L19" i="34"/>
  <c r="I19" i="34"/>
  <c r="H19" i="34"/>
  <c r="E19" i="34"/>
  <c r="N18" i="34"/>
  <c r="M18" i="34"/>
  <c r="L18" i="34"/>
  <c r="I18" i="34"/>
  <c r="H18" i="34"/>
  <c r="E18" i="34"/>
  <c r="N17" i="34"/>
  <c r="M17" i="34"/>
  <c r="L17" i="34"/>
  <c r="I17" i="34"/>
  <c r="H17" i="34"/>
  <c r="E17" i="34"/>
  <c r="N16" i="34"/>
  <c r="M16" i="34"/>
  <c r="L16" i="34"/>
  <c r="I16" i="34"/>
  <c r="H16" i="34"/>
  <c r="E16" i="34"/>
  <c r="N15" i="34"/>
  <c r="M15" i="34"/>
  <c r="L15" i="34"/>
  <c r="I15" i="34"/>
  <c r="H15" i="34"/>
  <c r="E15" i="34"/>
  <c r="N14" i="34"/>
  <c r="M14" i="34"/>
  <c r="L14" i="34"/>
  <c r="I14" i="34"/>
  <c r="H14" i="34"/>
  <c r="E14" i="34"/>
  <c r="N13" i="34"/>
  <c r="M13" i="34"/>
  <c r="L13" i="34"/>
  <c r="I13" i="34"/>
  <c r="H13" i="34"/>
  <c r="E13" i="34"/>
  <c r="N12" i="34"/>
  <c r="M12" i="34"/>
  <c r="L12" i="34"/>
  <c r="I12" i="34"/>
  <c r="H12" i="34"/>
  <c r="E12" i="34"/>
  <c r="N11" i="34"/>
  <c r="M11" i="34"/>
  <c r="L11" i="34"/>
  <c r="I11" i="34"/>
  <c r="H11" i="34"/>
  <c r="E11" i="34"/>
  <c r="N10" i="34"/>
  <c r="M10" i="34"/>
  <c r="L10" i="34"/>
  <c r="I10" i="34"/>
  <c r="H10" i="34"/>
  <c r="E10" i="34"/>
  <c r="M14" i="45"/>
  <c r="H14" i="45"/>
  <c r="N13" i="45"/>
  <c r="M13" i="45"/>
  <c r="L13" i="45"/>
  <c r="I13" i="45"/>
  <c r="H13" i="45"/>
  <c r="E13" i="45"/>
  <c r="N12" i="45"/>
  <c r="M12" i="45"/>
  <c r="L12" i="45"/>
  <c r="I12" i="45"/>
  <c r="H12" i="45"/>
  <c r="E12" i="45"/>
  <c r="M21" i="33"/>
  <c r="H21" i="33"/>
  <c r="N20" i="33"/>
  <c r="M20" i="33"/>
  <c r="L20" i="33"/>
  <c r="I20" i="33"/>
  <c r="H20" i="33"/>
  <c r="E20" i="33"/>
  <c r="N19" i="33"/>
  <c r="M19" i="33"/>
  <c r="L19" i="33"/>
  <c r="I19" i="33"/>
  <c r="H19" i="33"/>
  <c r="E19" i="33"/>
  <c r="N18" i="33"/>
  <c r="M18" i="33"/>
  <c r="L18" i="33"/>
  <c r="I18" i="33"/>
  <c r="H18" i="33"/>
  <c r="E18" i="33"/>
  <c r="N17" i="33"/>
  <c r="M17" i="33"/>
  <c r="L17" i="33"/>
  <c r="I17" i="33"/>
  <c r="H17" i="33"/>
  <c r="E17" i="33"/>
  <c r="N16" i="33"/>
  <c r="M16" i="33"/>
  <c r="L16" i="33"/>
  <c r="I16" i="33"/>
  <c r="H16" i="33"/>
  <c r="E16" i="33"/>
  <c r="N15" i="33"/>
  <c r="M15" i="33"/>
  <c r="L15" i="33"/>
  <c r="I15" i="33"/>
  <c r="H15" i="33"/>
  <c r="E15" i="33"/>
  <c r="N14" i="33"/>
  <c r="M14" i="33"/>
  <c r="L14" i="33"/>
  <c r="I14" i="33"/>
  <c r="H14" i="33"/>
  <c r="E14" i="33"/>
  <c r="N13" i="33"/>
  <c r="M13" i="33"/>
  <c r="L13" i="33"/>
  <c r="I13" i="33"/>
  <c r="H13" i="33"/>
  <c r="E13" i="33"/>
  <c r="N12" i="33"/>
  <c r="M12" i="33"/>
  <c r="L12" i="33"/>
  <c r="I12" i="33"/>
  <c r="H12" i="33"/>
  <c r="E12" i="33"/>
  <c r="N11" i="33"/>
  <c r="M11" i="33"/>
  <c r="L11" i="33"/>
  <c r="I11" i="33"/>
  <c r="H11" i="33"/>
  <c r="E11" i="33"/>
  <c r="M53" i="30"/>
  <c r="H53" i="30"/>
  <c r="M52" i="30"/>
  <c r="K52" i="30"/>
  <c r="H52" i="30"/>
  <c r="M51" i="30"/>
  <c r="K51" i="30"/>
  <c r="H51" i="30"/>
  <c r="M50" i="30"/>
  <c r="K50" i="30"/>
  <c r="H50" i="30"/>
  <c r="M49" i="30"/>
  <c r="K49" i="30"/>
  <c r="H49" i="30"/>
  <c r="M48" i="30"/>
  <c r="K48" i="30"/>
  <c r="H48" i="30"/>
  <c r="M47" i="30"/>
  <c r="K47" i="30"/>
  <c r="H47" i="30"/>
  <c r="M46" i="30"/>
  <c r="K46" i="30"/>
  <c r="H46" i="30"/>
  <c r="M45" i="30"/>
  <c r="K45" i="30"/>
  <c r="H45" i="30"/>
  <c r="M44" i="30"/>
  <c r="K44" i="30"/>
  <c r="H44" i="30"/>
  <c r="M43" i="30"/>
  <c r="K43" i="30"/>
  <c r="H43" i="30"/>
  <c r="M42" i="30"/>
  <c r="K42" i="30"/>
  <c r="H42" i="30"/>
  <c r="M41" i="30"/>
  <c r="K41" i="30"/>
  <c r="H41" i="30"/>
  <c r="M40" i="30"/>
  <c r="K40" i="30"/>
  <c r="H40" i="30"/>
  <c r="M39" i="30"/>
  <c r="K39" i="30"/>
  <c r="H39" i="30"/>
  <c r="M38" i="30"/>
  <c r="K38" i="30"/>
  <c r="H38" i="30"/>
  <c r="M37" i="30"/>
  <c r="K37" i="30"/>
  <c r="H37" i="30"/>
  <c r="M36" i="30"/>
  <c r="K36" i="30"/>
  <c r="H36" i="30"/>
  <c r="M35" i="30"/>
  <c r="K35" i="30"/>
  <c r="H35" i="30"/>
  <c r="M34" i="30"/>
  <c r="K34" i="30"/>
  <c r="H34" i="30"/>
  <c r="M33" i="30"/>
  <c r="K33" i="30"/>
  <c r="H33" i="30"/>
  <c r="M32" i="30"/>
  <c r="K32" i="30"/>
  <c r="H32" i="30"/>
  <c r="M31" i="30"/>
  <c r="K31" i="30"/>
  <c r="H31" i="30"/>
  <c r="M30" i="30"/>
  <c r="K30" i="30"/>
  <c r="H30" i="30"/>
  <c r="M28" i="30"/>
  <c r="K28" i="30"/>
  <c r="H28" i="30"/>
  <c r="M27" i="30"/>
  <c r="K27" i="30"/>
  <c r="H27" i="30"/>
  <c r="M26" i="30"/>
  <c r="K26" i="30"/>
  <c r="H26" i="30"/>
  <c r="M25" i="30"/>
  <c r="K25" i="30"/>
  <c r="H25" i="30"/>
  <c r="M24" i="30"/>
  <c r="K24" i="30"/>
  <c r="H24" i="30"/>
  <c r="M23" i="30"/>
  <c r="K23" i="30"/>
  <c r="H23" i="30"/>
  <c r="M22" i="30"/>
  <c r="K22" i="30"/>
  <c r="H22" i="30"/>
  <c r="M21" i="30"/>
  <c r="K21" i="30"/>
  <c r="H21" i="30"/>
  <c r="M20" i="30"/>
  <c r="K20" i="30"/>
  <c r="H20" i="30"/>
  <c r="M19" i="30"/>
  <c r="K19" i="30"/>
  <c r="H19" i="30"/>
  <c r="M18" i="30"/>
  <c r="K18" i="30"/>
  <c r="H18" i="30"/>
  <c r="M17" i="30"/>
  <c r="K17" i="30"/>
  <c r="H17" i="30"/>
  <c r="M16" i="30"/>
  <c r="K16" i="30"/>
  <c r="H16" i="30"/>
  <c r="M15" i="30"/>
  <c r="K15" i="30"/>
  <c r="H15" i="30"/>
  <c r="M30" i="29"/>
  <c r="H30" i="29"/>
  <c r="N29" i="29"/>
  <c r="M29" i="29"/>
  <c r="L29" i="29"/>
  <c r="I29" i="29"/>
  <c r="H29" i="29"/>
  <c r="E29" i="29"/>
  <c r="N28" i="29"/>
  <c r="M28" i="29"/>
  <c r="L28" i="29"/>
  <c r="I28" i="29"/>
  <c r="H28" i="29"/>
  <c r="E28" i="29"/>
  <c r="N27" i="29"/>
  <c r="M27" i="29"/>
  <c r="L27" i="29"/>
  <c r="I27" i="29"/>
  <c r="H27" i="29"/>
  <c r="E27" i="29"/>
  <c r="N26" i="29"/>
  <c r="M26" i="29"/>
  <c r="L26" i="29"/>
  <c r="I26" i="29"/>
  <c r="H26" i="29"/>
  <c r="E26" i="29"/>
  <c r="N25" i="29"/>
  <c r="M25" i="29"/>
  <c r="L25" i="29"/>
  <c r="I25" i="29"/>
  <c r="H25" i="29"/>
  <c r="E25" i="29"/>
  <c r="N24" i="29"/>
  <c r="M24" i="29"/>
  <c r="L24" i="29"/>
  <c r="I24" i="29"/>
  <c r="H24" i="29"/>
  <c r="E24" i="29"/>
  <c r="N23" i="29"/>
  <c r="M23" i="29"/>
  <c r="L23" i="29"/>
  <c r="I23" i="29"/>
  <c r="H23" i="29"/>
  <c r="E23" i="29"/>
  <c r="N22" i="29"/>
  <c r="M22" i="29"/>
  <c r="L22" i="29"/>
  <c r="I22" i="29"/>
  <c r="H22" i="29"/>
  <c r="E22" i="29"/>
  <c r="N21" i="29"/>
  <c r="M21" i="29"/>
  <c r="L21" i="29"/>
  <c r="I21" i="29"/>
  <c r="H21" i="29"/>
  <c r="E21" i="29"/>
  <c r="N20" i="29"/>
  <c r="M20" i="29"/>
  <c r="L20" i="29"/>
  <c r="I20" i="29"/>
  <c r="H20" i="29"/>
  <c r="E20" i="29"/>
  <c r="N18" i="29"/>
  <c r="M18" i="29"/>
  <c r="L18" i="29"/>
  <c r="I18" i="29"/>
  <c r="H18" i="29"/>
  <c r="E18" i="29"/>
  <c r="N17" i="29"/>
  <c r="M17" i="29"/>
  <c r="L17" i="29"/>
  <c r="I17" i="29"/>
  <c r="H17" i="29"/>
  <c r="E17" i="29"/>
  <c r="N16" i="29"/>
  <c r="M16" i="29"/>
  <c r="L16" i="29"/>
  <c r="I16" i="29"/>
  <c r="H16" i="29"/>
  <c r="E16" i="29"/>
  <c r="N15" i="29"/>
  <c r="M15" i="29"/>
  <c r="L15" i="29"/>
  <c r="I15" i="29"/>
  <c r="H15" i="29"/>
  <c r="E15" i="29"/>
  <c r="N14" i="29"/>
  <c r="M14" i="29"/>
  <c r="L14" i="29"/>
  <c r="I14" i="29"/>
  <c r="H14" i="29"/>
  <c r="E14" i="29"/>
  <c r="N13" i="29"/>
  <c r="M13" i="29"/>
  <c r="L13" i="29"/>
  <c r="I13" i="29"/>
  <c r="H13" i="29"/>
  <c r="E13" i="29"/>
  <c r="M87" i="28"/>
  <c r="H87" i="28"/>
  <c r="N86" i="28"/>
  <c r="M86" i="28"/>
  <c r="L86" i="28"/>
  <c r="I86" i="28"/>
  <c r="H86" i="28"/>
  <c r="E86" i="28"/>
  <c r="N85" i="28"/>
  <c r="M85" i="28"/>
  <c r="L85" i="28"/>
  <c r="I85" i="28"/>
  <c r="H85" i="28"/>
  <c r="E85" i="28"/>
  <c r="N83" i="28"/>
  <c r="M83" i="28"/>
  <c r="L83" i="28"/>
  <c r="I83" i="28"/>
  <c r="H83" i="28"/>
  <c r="E83" i="28"/>
  <c r="N82" i="28"/>
  <c r="M82" i="28"/>
  <c r="L82" i="28"/>
  <c r="I82" i="28"/>
  <c r="H82" i="28"/>
  <c r="E82" i="28"/>
  <c r="N81" i="28"/>
  <c r="M81" i="28"/>
  <c r="L81" i="28"/>
  <c r="I81" i="28"/>
  <c r="H81" i="28"/>
  <c r="E81" i="28"/>
  <c r="N80" i="28"/>
  <c r="M80" i="28"/>
  <c r="L80" i="28"/>
  <c r="I80" i="28"/>
  <c r="H80" i="28"/>
  <c r="E80" i="28"/>
  <c r="N78" i="28"/>
  <c r="M78" i="28"/>
  <c r="L78" i="28"/>
  <c r="I78" i="28"/>
  <c r="H78" i="28"/>
  <c r="E78" i="28"/>
  <c r="N77" i="28"/>
  <c r="M77" i="28"/>
  <c r="L77" i="28"/>
  <c r="I77" i="28"/>
  <c r="H77" i="28"/>
  <c r="E77" i="28"/>
  <c r="N76" i="28"/>
  <c r="M76" i="28"/>
  <c r="L76" i="28"/>
  <c r="I76" i="28"/>
  <c r="H76" i="28"/>
  <c r="E76" i="28"/>
  <c r="N75" i="28"/>
  <c r="M75" i="28"/>
  <c r="L75" i="28"/>
  <c r="I75" i="28"/>
  <c r="H75" i="28"/>
  <c r="E75" i="28"/>
  <c r="N74" i="28"/>
  <c r="M74" i="28"/>
  <c r="L74" i="28"/>
  <c r="I74" i="28"/>
  <c r="H74" i="28"/>
  <c r="E74" i="28"/>
  <c r="N73" i="28"/>
  <c r="M73" i="28"/>
  <c r="L73" i="28"/>
  <c r="I73" i="28"/>
  <c r="H73" i="28"/>
  <c r="E73" i="28"/>
  <c r="N72" i="28"/>
  <c r="M72" i="28"/>
  <c r="L72" i="28"/>
  <c r="I72" i="28"/>
  <c r="H72" i="28"/>
  <c r="E72" i="28"/>
  <c r="N71" i="28"/>
  <c r="M71" i="28"/>
  <c r="L71" i="28"/>
  <c r="I71" i="28"/>
  <c r="H71" i="28"/>
  <c r="E71" i="28"/>
  <c r="N69" i="28"/>
  <c r="M69" i="28"/>
  <c r="L69" i="28"/>
  <c r="I69" i="28"/>
  <c r="H69" i="28"/>
  <c r="E69" i="28"/>
  <c r="N68" i="28"/>
  <c r="M68" i="28"/>
  <c r="L68" i="28"/>
  <c r="I68" i="28"/>
  <c r="H68" i="28"/>
  <c r="E68" i="28"/>
  <c r="N67" i="28"/>
  <c r="M67" i="28"/>
  <c r="L67" i="28"/>
  <c r="I67" i="28"/>
  <c r="H67" i="28"/>
  <c r="E67" i="28"/>
  <c r="N65" i="28"/>
  <c r="M65" i="28"/>
  <c r="L65" i="28"/>
  <c r="I65" i="28"/>
  <c r="H65" i="28"/>
  <c r="E65" i="28"/>
  <c r="N64" i="28"/>
  <c r="M64" i="28"/>
  <c r="L64" i="28"/>
  <c r="I64" i="28"/>
  <c r="H64" i="28"/>
  <c r="E64" i="28"/>
  <c r="N63" i="28"/>
  <c r="M63" i="28"/>
  <c r="L63" i="28"/>
  <c r="I63" i="28"/>
  <c r="H63" i="28"/>
  <c r="E63" i="28"/>
  <c r="N62" i="28"/>
  <c r="M62" i="28"/>
  <c r="L62" i="28"/>
  <c r="I62" i="28"/>
  <c r="H62" i="28"/>
  <c r="E62" i="28"/>
  <c r="N61" i="28"/>
  <c r="M61" i="28"/>
  <c r="L61" i="28"/>
  <c r="I61" i="28"/>
  <c r="H61" i="28"/>
  <c r="E61" i="28"/>
  <c r="N60" i="28"/>
  <c r="M60" i="28"/>
  <c r="L60" i="28"/>
  <c r="I60" i="28"/>
  <c r="H60" i="28"/>
  <c r="E60" i="28"/>
  <c r="N59" i="28"/>
  <c r="M59" i="28"/>
  <c r="L59" i="28"/>
  <c r="I59" i="28"/>
  <c r="H59" i="28"/>
  <c r="E59" i="28"/>
  <c r="N58" i="28"/>
  <c r="M58" i="28"/>
  <c r="L58" i="28"/>
  <c r="I58" i="28"/>
  <c r="H58" i="28"/>
  <c r="E58" i="28"/>
  <c r="N57" i="28"/>
  <c r="M57" i="28"/>
  <c r="L57" i="28"/>
  <c r="I57" i="28"/>
  <c r="H57" i="28"/>
  <c r="E57" i="28"/>
  <c r="N56" i="28"/>
  <c r="M56" i="28"/>
  <c r="L56" i="28"/>
  <c r="I56" i="28"/>
  <c r="H56" i="28"/>
  <c r="E56" i="28"/>
  <c r="N55" i="28"/>
  <c r="M55" i="28"/>
  <c r="L55" i="28"/>
  <c r="I55" i="28"/>
  <c r="H55" i="28"/>
  <c r="E55" i="28"/>
  <c r="N54" i="28"/>
  <c r="M54" i="28"/>
  <c r="L54" i="28"/>
  <c r="I54" i="28"/>
  <c r="H54" i="28"/>
  <c r="E54" i="28"/>
  <c r="N53" i="28"/>
  <c r="M53" i="28"/>
  <c r="L53" i="28"/>
  <c r="I53" i="28"/>
  <c r="H53" i="28"/>
  <c r="E53" i="28"/>
  <c r="N52" i="28"/>
  <c r="M52" i="28"/>
  <c r="L52" i="28"/>
  <c r="I52" i="28"/>
  <c r="H52" i="28"/>
  <c r="E52" i="28"/>
  <c r="N51" i="28"/>
  <c r="M51" i="28"/>
  <c r="L51" i="28"/>
  <c r="I51" i="28"/>
  <c r="H51" i="28"/>
  <c r="E51" i="28"/>
  <c r="N50" i="28"/>
  <c r="M50" i="28"/>
  <c r="L50" i="28"/>
  <c r="I50" i="28"/>
  <c r="H50" i="28"/>
  <c r="E50" i="28"/>
  <c r="N49" i="28"/>
  <c r="M49" i="28"/>
  <c r="L49" i="28"/>
  <c r="I49" i="28"/>
  <c r="H49" i="28"/>
  <c r="E49" i="28"/>
  <c r="N48" i="28"/>
  <c r="M48" i="28"/>
  <c r="L48" i="28"/>
  <c r="I48" i="28"/>
  <c r="H48" i="28"/>
  <c r="E48" i="28"/>
  <c r="N46" i="28"/>
  <c r="M46" i="28"/>
  <c r="L46" i="28"/>
  <c r="I46" i="28"/>
  <c r="H46" i="28"/>
  <c r="E46" i="28"/>
  <c r="N45" i="28"/>
  <c r="M45" i="28"/>
  <c r="L45" i="28"/>
  <c r="I45" i="28"/>
  <c r="H45" i="28"/>
  <c r="E45" i="28"/>
  <c r="N44" i="28"/>
  <c r="M44" i="28"/>
  <c r="L44" i="28"/>
  <c r="I44" i="28"/>
  <c r="H44" i="28"/>
  <c r="E44" i="28"/>
  <c r="N43" i="28"/>
  <c r="M43" i="28"/>
  <c r="L43" i="28"/>
  <c r="I43" i="28"/>
  <c r="H43" i="28"/>
  <c r="E43" i="28"/>
  <c r="N42" i="28"/>
  <c r="M42" i="28"/>
  <c r="L42" i="28"/>
  <c r="I42" i="28"/>
  <c r="H42" i="28"/>
  <c r="E42" i="28"/>
  <c r="N41" i="28"/>
  <c r="M41" i="28"/>
  <c r="L41" i="28"/>
  <c r="I41" i="28"/>
  <c r="H41" i="28"/>
  <c r="E41" i="28"/>
  <c r="N40" i="28"/>
  <c r="M40" i="28"/>
  <c r="L40" i="28"/>
  <c r="I40" i="28"/>
  <c r="H40" i="28"/>
  <c r="E40" i="28"/>
  <c r="N39" i="28"/>
  <c r="M39" i="28"/>
  <c r="L39" i="28"/>
  <c r="I39" i="28"/>
  <c r="H39" i="28"/>
  <c r="E39" i="28"/>
  <c r="N38" i="28"/>
  <c r="M38" i="28"/>
  <c r="L38" i="28"/>
  <c r="I38" i="28"/>
  <c r="H38" i="28"/>
  <c r="E38" i="28"/>
  <c r="N37" i="28"/>
  <c r="M37" i="28"/>
  <c r="L37" i="28"/>
  <c r="I37" i="28"/>
  <c r="H37" i="28"/>
  <c r="E37" i="28"/>
  <c r="N36" i="28"/>
  <c r="M36" i="28"/>
  <c r="L36" i="28"/>
  <c r="I36" i="28"/>
  <c r="H36" i="28"/>
  <c r="E36" i="28"/>
  <c r="N35" i="28"/>
  <c r="M35" i="28"/>
  <c r="L35" i="28"/>
  <c r="I35" i="28"/>
  <c r="H35" i="28"/>
  <c r="E35" i="28"/>
  <c r="N34" i="28"/>
  <c r="M34" i="28"/>
  <c r="L34" i="28"/>
  <c r="I34" i="28"/>
  <c r="H34" i="28"/>
  <c r="E34" i="28"/>
  <c r="N33" i="28"/>
  <c r="M33" i="28"/>
  <c r="L33" i="28"/>
  <c r="I33" i="28"/>
  <c r="H33" i="28"/>
  <c r="E33" i="28"/>
  <c r="N32" i="28"/>
  <c r="M32" i="28"/>
  <c r="L32" i="28"/>
  <c r="I32" i="28"/>
  <c r="H32" i="28"/>
  <c r="E32" i="28"/>
  <c r="N31" i="28"/>
  <c r="M31" i="28"/>
  <c r="L31" i="28"/>
  <c r="I31" i="28"/>
  <c r="H31" i="28"/>
  <c r="E31" i="28"/>
  <c r="N30" i="28"/>
  <c r="M30" i="28"/>
  <c r="L30" i="28"/>
  <c r="I30" i="28"/>
  <c r="H30" i="28"/>
  <c r="E30" i="28"/>
  <c r="N29" i="28"/>
  <c r="M29" i="28"/>
  <c r="L29" i="28"/>
  <c r="I29" i="28"/>
  <c r="H29" i="28"/>
  <c r="E29" i="28"/>
  <c r="N28" i="28"/>
  <c r="M28" i="28"/>
  <c r="L28" i="28"/>
  <c r="I28" i="28"/>
  <c r="H28" i="28"/>
  <c r="E28" i="28"/>
  <c r="N27" i="28"/>
  <c r="M27" i="28"/>
  <c r="L27" i="28"/>
  <c r="I27" i="28"/>
  <c r="H27" i="28"/>
  <c r="E27" i="28"/>
  <c r="N26" i="28"/>
  <c r="M26" i="28"/>
  <c r="L26" i="28"/>
  <c r="I26" i="28"/>
  <c r="H26" i="28"/>
  <c r="E26" i="28"/>
  <c r="N25" i="28"/>
  <c r="M25" i="28"/>
  <c r="L25" i="28"/>
  <c r="I25" i="28"/>
  <c r="H25" i="28"/>
  <c r="E25" i="28"/>
  <c r="N24" i="28"/>
  <c r="M24" i="28"/>
  <c r="L24" i="28"/>
  <c r="I24" i="28"/>
  <c r="H24" i="28"/>
  <c r="E24" i="28"/>
  <c r="N23" i="28"/>
  <c r="M23" i="28"/>
  <c r="L23" i="28"/>
  <c r="I23" i="28"/>
  <c r="H23" i="28"/>
  <c r="E23" i="28"/>
  <c r="N21" i="28"/>
  <c r="M21" i="28"/>
  <c r="L21" i="28"/>
  <c r="I21" i="28"/>
  <c r="H21" i="28"/>
  <c r="E21" i="28"/>
  <c r="N20" i="28"/>
  <c r="M20" i="28"/>
  <c r="L20" i="28"/>
  <c r="I20" i="28"/>
  <c r="H20" i="28"/>
  <c r="E20" i="28"/>
  <c r="M19" i="28"/>
  <c r="L19" i="28"/>
  <c r="I19" i="28"/>
  <c r="H19" i="28"/>
  <c r="E19" i="28"/>
  <c r="N18" i="28"/>
  <c r="M18" i="28"/>
  <c r="L18" i="28"/>
  <c r="I18" i="28"/>
  <c r="H18" i="28"/>
  <c r="E18" i="28"/>
  <c r="N17" i="28"/>
  <c r="M17" i="28"/>
  <c r="L17" i="28"/>
  <c r="I17" i="28"/>
  <c r="H17" i="28"/>
  <c r="E17" i="28"/>
  <c r="N16" i="28"/>
  <c r="M16" i="28"/>
  <c r="L16" i="28"/>
  <c r="I16" i="28"/>
  <c r="H16" i="28"/>
  <c r="E16" i="28"/>
  <c r="N15" i="28"/>
  <c r="M15" i="28"/>
  <c r="L15" i="28"/>
  <c r="I15" i="28"/>
  <c r="H15" i="28"/>
  <c r="E15" i="28"/>
  <c r="N14" i="28"/>
  <c r="M14" i="28"/>
  <c r="L14" i="28"/>
  <c r="I14" i="28"/>
  <c r="H14" i="28"/>
  <c r="E14" i="28"/>
  <c r="O25" i="26"/>
  <c r="J25" i="26"/>
  <c r="P24" i="26"/>
  <c r="O24" i="26"/>
  <c r="N24" i="26"/>
  <c r="K24" i="26"/>
  <c r="J24" i="26"/>
  <c r="G24" i="26"/>
  <c r="P23" i="26"/>
  <c r="O23" i="26"/>
  <c r="N23" i="26"/>
  <c r="K23" i="26"/>
  <c r="J23" i="26"/>
  <c r="G23" i="26"/>
  <c r="P22" i="26"/>
  <c r="O22" i="26"/>
  <c r="N22" i="26"/>
  <c r="K22" i="26"/>
  <c r="J22" i="26"/>
  <c r="G22" i="26"/>
  <c r="P21" i="26"/>
  <c r="O21" i="26"/>
  <c r="N21" i="26"/>
  <c r="K21" i="26"/>
  <c r="J21" i="26"/>
  <c r="G21" i="26"/>
  <c r="P20" i="26"/>
  <c r="O20" i="26"/>
  <c r="N20" i="26"/>
  <c r="K20" i="26"/>
  <c r="J20" i="26"/>
  <c r="G20" i="26"/>
  <c r="P19" i="26"/>
  <c r="O19" i="26"/>
  <c r="N19" i="26"/>
  <c r="K19" i="26"/>
  <c r="J19" i="26"/>
  <c r="G19" i="26"/>
  <c r="P18" i="26"/>
  <c r="O18" i="26"/>
  <c r="N18" i="26"/>
  <c r="K18" i="26"/>
  <c r="J18" i="26"/>
  <c r="G18" i="26"/>
  <c r="P17" i="26"/>
  <c r="O17" i="26"/>
  <c r="N17" i="26"/>
  <c r="K17" i="26"/>
  <c r="J17" i="26"/>
  <c r="G17" i="26"/>
  <c r="P16" i="26"/>
  <c r="O16" i="26"/>
  <c r="N16" i="26"/>
  <c r="K16" i="26"/>
  <c r="J16" i="26"/>
  <c r="G16" i="26"/>
  <c r="P15" i="26"/>
  <c r="O15" i="26"/>
  <c r="N15" i="26"/>
  <c r="K15" i="26"/>
  <c r="J15" i="26"/>
  <c r="G15" i="26"/>
  <c r="P14" i="26"/>
  <c r="O14" i="26"/>
  <c r="N14" i="26"/>
  <c r="K14" i="26"/>
  <c r="J14" i="26"/>
  <c r="G14" i="26"/>
  <c r="N14" i="35"/>
  <c r="I14" i="35"/>
  <c r="O13" i="35"/>
  <c r="N13" i="35"/>
  <c r="M13" i="35"/>
  <c r="J13" i="35"/>
  <c r="I13" i="35"/>
  <c r="F13" i="35"/>
  <c r="O12" i="35"/>
  <c r="N12" i="35"/>
  <c r="M12" i="35"/>
  <c r="J12" i="35"/>
  <c r="I12" i="35"/>
  <c r="F12" i="35"/>
  <c r="O98" i="38"/>
  <c r="J98" i="38"/>
  <c r="P97" i="38"/>
  <c r="O97" i="38"/>
  <c r="N97" i="38"/>
  <c r="K97" i="38"/>
  <c r="J97" i="38"/>
  <c r="G97" i="38"/>
  <c r="F97" i="38"/>
  <c r="E97" i="38"/>
  <c r="D97" i="38"/>
  <c r="C97" i="38"/>
  <c r="B97" i="38"/>
  <c r="P96" i="38"/>
  <c r="O96" i="38"/>
  <c r="N96" i="38"/>
  <c r="K96" i="38"/>
  <c r="J96" i="38"/>
  <c r="G96" i="38"/>
  <c r="F96" i="38"/>
  <c r="E96" i="38"/>
  <c r="D96" i="38"/>
  <c r="C96" i="38"/>
  <c r="B96" i="38"/>
  <c r="P95" i="38"/>
  <c r="O95" i="38"/>
  <c r="N95" i="38"/>
  <c r="K95" i="38"/>
  <c r="J95" i="38"/>
  <c r="G95" i="38"/>
  <c r="F95" i="38"/>
  <c r="E95" i="38"/>
  <c r="D95" i="38"/>
  <c r="C95" i="38"/>
  <c r="B95" i="38"/>
  <c r="P94" i="38"/>
  <c r="O94" i="38"/>
  <c r="N94" i="38"/>
  <c r="K94" i="38"/>
  <c r="J94" i="38"/>
  <c r="G94" i="38"/>
  <c r="F94" i="38"/>
  <c r="E94" i="38"/>
  <c r="D94" i="38"/>
  <c r="C94" i="38"/>
  <c r="B94" i="38"/>
  <c r="P93" i="38"/>
  <c r="O93" i="38"/>
  <c r="N93" i="38"/>
  <c r="K93" i="38"/>
  <c r="J93" i="38"/>
  <c r="G93" i="38"/>
  <c r="F93" i="38"/>
  <c r="E93" i="38"/>
  <c r="D93" i="38"/>
  <c r="C93" i="38"/>
  <c r="B93" i="38"/>
  <c r="P92" i="38"/>
  <c r="O92" i="38"/>
  <c r="N92" i="38"/>
  <c r="K92" i="38"/>
  <c r="J92" i="38"/>
  <c r="G92" i="38"/>
  <c r="F92" i="38"/>
  <c r="E92" i="38"/>
  <c r="D92" i="38"/>
  <c r="C92" i="38"/>
  <c r="B92" i="38"/>
  <c r="P91" i="38"/>
  <c r="O91" i="38"/>
  <c r="N91" i="38"/>
  <c r="K91" i="38"/>
  <c r="J91" i="38"/>
  <c r="G91" i="38"/>
  <c r="F91" i="38"/>
  <c r="E91" i="38"/>
  <c r="D91" i="38"/>
  <c r="C91" i="38"/>
  <c r="B91" i="38"/>
  <c r="P90" i="38"/>
  <c r="O90" i="38"/>
  <c r="N90" i="38"/>
  <c r="K90" i="38"/>
  <c r="J90" i="38"/>
  <c r="G90" i="38"/>
  <c r="F90" i="38"/>
  <c r="E90" i="38"/>
  <c r="D90" i="38"/>
  <c r="C90" i="38"/>
  <c r="B90" i="38"/>
  <c r="P89" i="38"/>
  <c r="O89" i="38"/>
  <c r="N89" i="38"/>
  <c r="K89" i="38"/>
  <c r="J89" i="38"/>
  <c r="G89" i="38"/>
  <c r="F89" i="38"/>
  <c r="E89" i="38"/>
  <c r="D89" i="38"/>
  <c r="C89" i="38"/>
  <c r="B89" i="38"/>
  <c r="P88" i="38"/>
  <c r="O88" i="38"/>
  <c r="N88" i="38"/>
  <c r="K88" i="38"/>
  <c r="J88" i="38"/>
  <c r="G88" i="38"/>
  <c r="F88" i="38"/>
  <c r="E88" i="38"/>
  <c r="D88" i="38"/>
  <c r="C88" i="38"/>
  <c r="B88" i="38"/>
  <c r="P87" i="38"/>
  <c r="O87" i="38"/>
  <c r="N87" i="38"/>
  <c r="K87" i="38"/>
  <c r="J87" i="38"/>
  <c r="G87" i="38"/>
  <c r="F87" i="38"/>
  <c r="E87" i="38"/>
  <c r="D87" i="38"/>
  <c r="C87" i="38"/>
  <c r="B87" i="38"/>
  <c r="P86" i="38"/>
  <c r="O86" i="38"/>
  <c r="N86" i="38"/>
  <c r="K86" i="38"/>
  <c r="J86" i="38"/>
  <c r="G86" i="38"/>
  <c r="F86" i="38"/>
  <c r="E86" i="38"/>
  <c r="D86" i="38"/>
  <c r="C86" i="38"/>
  <c r="B86" i="38"/>
  <c r="P85" i="38"/>
  <c r="O85" i="38"/>
  <c r="N85" i="38"/>
  <c r="K85" i="38"/>
  <c r="J85" i="38"/>
  <c r="G85" i="38"/>
  <c r="F85" i="38"/>
  <c r="E85" i="38"/>
  <c r="D85" i="38"/>
  <c r="C85" i="38"/>
  <c r="B85" i="38"/>
  <c r="P84" i="38"/>
  <c r="O84" i="38"/>
  <c r="N84" i="38"/>
  <c r="K84" i="38"/>
  <c r="J84" i="38"/>
  <c r="G84" i="38"/>
  <c r="F84" i="38"/>
  <c r="E84" i="38"/>
  <c r="D84" i="38"/>
  <c r="C84" i="38"/>
  <c r="B84" i="38"/>
  <c r="P83" i="38"/>
  <c r="O83" i="38"/>
  <c r="N83" i="38"/>
  <c r="K83" i="38"/>
  <c r="J83" i="38"/>
  <c r="G83" i="38"/>
  <c r="F83" i="38"/>
  <c r="E83" i="38"/>
  <c r="D83" i="38"/>
  <c r="C83" i="38"/>
  <c r="B83" i="38"/>
  <c r="P82" i="38"/>
  <c r="O82" i="38"/>
  <c r="N82" i="38"/>
  <c r="K82" i="38"/>
  <c r="J82" i="38"/>
  <c r="G82" i="38"/>
  <c r="F82" i="38"/>
  <c r="E82" i="38"/>
  <c r="D82" i="38"/>
  <c r="C82" i="38"/>
  <c r="B82" i="38"/>
  <c r="P81" i="38"/>
  <c r="O81" i="38"/>
  <c r="N81" i="38"/>
  <c r="K81" i="38"/>
  <c r="J81" i="38"/>
  <c r="G81" i="38"/>
  <c r="F81" i="38"/>
  <c r="E81" i="38"/>
  <c r="D81" i="38"/>
  <c r="C81" i="38"/>
  <c r="B81" i="38"/>
  <c r="P80" i="38"/>
  <c r="O80" i="38"/>
  <c r="N80" i="38"/>
  <c r="K80" i="38"/>
  <c r="J80" i="38"/>
  <c r="G80" i="38"/>
  <c r="F80" i="38"/>
  <c r="E80" i="38"/>
  <c r="D80" i="38"/>
  <c r="C80" i="38"/>
  <c r="B80" i="38"/>
  <c r="P79" i="38"/>
  <c r="O79" i="38"/>
  <c r="N79" i="38"/>
  <c r="K79" i="38"/>
  <c r="J79" i="38"/>
  <c r="G79" i="38"/>
  <c r="F79" i="38"/>
  <c r="E79" i="38"/>
  <c r="D79" i="38"/>
  <c r="C79" i="38"/>
  <c r="B79" i="38"/>
  <c r="P78" i="38"/>
  <c r="O78" i="38"/>
  <c r="N78" i="38"/>
  <c r="K78" i="38"/>
  <c r="J78" i="38"/>
  <c r="G78" i="38"/>
  <c r="F78" i="38"/>
  <c r="E78" i="38"/>
  <c r="D78" i="38"/>
  <c r="C78" i="38"/>
  <c r="B78" i="38"/>
  <c r="P77" i="38"/>
  <c r="O77" i="38"/>
  <c r="N77" i="38"/>
  <c r="K77" i="38"/>
  <c r="J77" i="38"/>
  <c r="G77" i="38"/>
  <c r="F77" i="38"/>
  <c r="E77" i="38"/>
  <c r="D77" i="38"/>
  <c r="C77" i="38"/>
  <c r="B77" i="38"/>
  <c r="P76" i="38"/>
  <c r="O76" i="38"/>
  <c r="N76" i="38"/>
  <c r="K76" i="38"/>
  <c r="J76" i="38"/>
  <c r="G76" i="38"/>
  <c r="F76" i="38"/>
  <c r="E76" i="38"/>
  <c r="D76" i="38"/>
  <c r="C76" i="38"/>
  <c r="B76" i="38"/>
  <c r="P75" i="38"/>
  <c r="O75" i="38"/>
  <c r="N75" i="38"/>
  <c r="K75" i="38"/>
  <c r="J75" i="38"/>
  <c r="G75" i="38"/>
  <c r="F75" i="38"/>
  <c r="E75" i="38"/>
  <c r="D75" i="38"/>
  <c r="C75" i="38"/>
  <c r="B75" i="38"/>
  <c r="P74" i="38"/>
  <c r="O74" i="38"/>
  <c r="N74" i="38"/>
  <c r="K74" i="38"/>
  <c r="J74" i="38"/>
  <c r="G74" i="38"/>
  <c r="F74" i="38"/>
  <c r="E74" i="38"/>
  <c r="D74" i="38"/>
  <c r="C74" i="38"/>
  <c r="B74" i="38"/>
  <c r="P73" i="38"/>
  <c r="O73" i="38"/>
  <c r="N73" i="38"/>
  <c r="K73" i="38"/>
  <c r="J73" i="38"/>
  <c r="G73" i="38"/>
  <c r="F73" i="38"/>
  <c r="E73" i="38"/>
  <c r="D73" i="38"/>
  <c r="C73" i="38"/>
  <c r="B73" i="38"/>
  <c r="P72" i="38"/>
  <c r="O72" i="38"/>
  <c r="N72" i="38"/>
  <c r="K72" i="38"/>
  <c r="J72" i="38"/>
  <c r="G72" i="38"/>
  <c r="F72" i="38"/>
  <c r="E72" i="38"/>
  <c r="D72" i="38"/>
  <c r="C72" i="38"/>
  <c r="B72" i="38"/>
  <c r="P71" i="38"/>
  <c r="O71" i="38"/>
  <c r="N71" i="38"/>
  <c r="K71" i="38"/>
  <c r="J71" i="38"/>
  <c r="G71" i="38"/>
  <c r="F71" i="38"/>
  <c r="E71" i="38"/>
  <c r="D71" i="38"/>
  <c r="C71" i="38"/>
  <c r="B71" i="38"/>
  <c r="P70" i="38"/>
  <c r="O70" i="38"/>
  <c r="N70" i="38"/>
  <c r="K70" i="38"/>
  <c r="J70" i="38"/>
  <c r="G70" i="38"/>
  <c r="F70" i="38"/>
  <c r="E70" i="38"/>
  <c r="D70" i="38"/>
  <c r="C70" i="38"/>
  <c r="B70" i="38"/>
  <c r="P69" i="38"/>
  <c r="O69" i="38"/>
  <c r="N69" i="38"/>
  <c r="K69" i="38"/>
  <c r="J69" i="38"/>
  <c r="G69" i="38"/>
  <c r="F69" i="38"/>
  <c r="E69" i="38"/>
  <c r="D69" i="38"/>
  <c r="C69" i="38"/>
  <c r="B69" i="38"/>
  <c r="P68" i="38"/>
  <c r="O68" i="38"/>
  <c r="N68" i="38"/>
  <c r="K68" i="38"/>
  <c r="J68" i="38"/>
  <c r="G68" i="38"/>
  <c r="F68" i="38"/>
  <c r="E68" i="38"/>
  <c r="D68" i="38"/>
  <c r="C68" i="38"/>
  <c r="B68" i="38"/>
  <c r="P67" i="38"/>
  <c r="O67" i="38"/>
  <c r="N67" i="38"/>
  <c r="K67" i="38"/>
  <c r="J67" i="38"/>
  <c r="G67" i="38"/>
  <c r="F67" i="38"/>
  <c r="E67" i="38"/>
  <c r="D67" i="38"/>
  <c r="C67" i="38"/>
  <c r="B67" i="38"/>
  <c r="P66" i="38"/>
  <c r="O66" i="38"/>
  <c r="N66" i="38"/>
  <c r="K66" i="38"/>
  <c r="J66" i="38"/>
  <c r="G66" i="38"/>
  <c r="F66" i="38"/>
  <c r="E66" i="38"/>
  <c r="D66" i="38"/>
  <c r="C66" i="38"/>
  <c r="B66" i="38"/>
  <c r="P65" i="38"/>
  <c r="O65" i="38"/>
  <c r="N65" i="38"/>
  <c r="K65" i="38"/>
  <c r="J65" i="38"/>
  <c r="G65" i="38"/>
  <c r="F65" i="38"/>
  <c r="E65" i="38"/>
  <c r="D65" i="38"/>
  <c r="C65" i="38"/>
  <c r="B65" i="38"/>
  <c r="P64" i="38"/>
  <c r="O64" i="38"/>
  <c r="N64" i="38"/>
  <c r="K64" i="38"/>
  <c r="J64" i="38"/>
  <c r="G64" i="38"/>
  <c r="F64" i="38"/>
  <c r="E64" i="38"/>
  <c r="D64" i="38"/>
  <c r="C64" i="38"/>
  <c r="B64" i="38"/>
  <c r="P63" i="38"/>
  <c r="O63" i="38"/>
  <c r="N63" i="38"/>
  <c r="K63" i="38"/>
  <c r="J63" i="38"/>
  <c r="G63" i="38"/>
  <c r="F63" i="38"/>
  <c r="E63" i="38"/>
  <c r="D63" i="38"/>
  <c r="C63" i="38"/>
  <c r="B63" i="38"/>
  <c r="P62" i="38"/>
  <c r="O62" i="38"/>
  <c r="N62" i="38"/>
  <c r="K62" i="38"/>
  <c r="J62" i="38"/>
  <c r="G62" i="38"/>
  <c r="F62" i="38"/>
  <c r="E62" i="38"/>
  <c r="D62" i="38"/>
  <c r="C62" i="38"/>
  <c r="B62" i="38"/>
  <c r="P61" i="38"/>
  <c r="O61" i="38"/>
  <c r="N61" i="38"/>
  <c r="K61" i="38"/>
  <c r="J61" i="38"/>
  <c r="G61" i="38"/>
  <c r="F61" i="38"/>
  <c r="E61" i="38"/>
  <c r="D61" i="38"/>
  <c r="C61" i="38"/>
  <c r="B61" i="38"/>
  <c r="P60" i="38"/>
  <c r="O60" i="38"/>
  <c r="N60" i="38"/>
  <c r="K60" i="38"/>
  <c r="J60" i="38"/>
  <c r="G60" i="38"/>
  <c r="F60" i="38"/>
  <c r="E60" i="38"/>
  <c r="D60" i="38"/>
  <c r="C60" i="38"/>
  <c r="B60" i="38"/>
  <c r="P59" i="38"/>
  <c r="O59" i="38"/>
  <c r="N59" i="38"/>
  <c r="K59" i="38"/>
  <c r="J59" i="38"/>
  <c r="G59" i="38"/>
  <c r="F59" i="38"/>
  <c r="E59" i="38"/>
  <c r="D59" i="38"/>
  <c r="C59" i="38"/>
  <c r="B59" i="38"/>
  <c r="P58" i="38"/>
  <c r="O58" i="38"/>
  <c r="N58" i="38"/>
  <c r="K58" i="38"/>
  <c r="J58" i="38"/>
  <c r="G58" i="38"/>
  <c r="F58" i="38"/>
  <c r="E58" i="38"/>
  <c r="D58" i="38"/>
  <c r="C58" i="38"/>
  <c r="B58" i="38"/>
  <c r="P57" i="38"/>
  <c r="O57" i="38"/>
  <c r="N57" i="38"/>
  <c r="K57" i="38"/>
  <c r="J57" i="38"/>
  <c r="G57" i="38"/>
  <c r="F57" i="38"/>
  <c r="E57" i="38"/>
  <c r="D57" i="38"/>
  <c r="C57" i="38"/>
  <c r="B57" i="38"/>
  <c r="P56" i="38"/>
  <c r="O56" i="38"/>
  <c r="N56" i="38"/>
  <c r="K56" i="38"/>
  <c r="J56" i="38"/>
  <c r="G56" i="38"/>
  <c r="F56" i="38"/>
  <c r="E56" i="38"/>
  <c r="D56" i="38"/>
  <c r="C56" i="38"/>
  <c r="B56" i="38"/>
  <c r="P55" i="38"/>
  <c r="O55" i="38"/>
  <c r="N55" i="38"/>
  <c r="K55" i="38"/>
  <c r="J55" i="38"/>
  <c r="G55" i="38"/>
  <c r="F55" i="38"/>
  <c r="E55" i="38"/>
  <c r="D55" i="38"/>
  <c r="C55" i="38"/>
  <c r="B55" i="38"/>
  <c r="P54" i="38"/>
  <c r="O54" i="38"/>
  <c r="N54" i="38"/>
  <c r="K54" i="38"/>
  <c r="J54" i="38"/>
  <c r="G54" i="38"/>
  <c r="F54" i="38"/>
  <c r="E54" i="38"/>
  <c r="D54" i="38"/>
  <c r="C54" i="38"/>
  <c r="B54" i="38"/>
  <c r="P53" i="38"/>
  <c r="O53" i="38"/>
  <c r="N53" i="38"/>
  <c r="K53" i="38"/>
  <c r="J53" i="38"/>
  <c r="G53" i="38"/>
  <c r="F53" i="38"/>
  <c r="E53" i="38"/>
  <c r="D53" i="38"/>
  <c r="C53" i="38"/>
  <c r="B53" i="38"/>
  <c r="P52" i="38"/>
  <c r="O52" i="38"/>
  <c r="N52" i="38"/>
  <c r="K52" i="38"/>
  <c r="J52" i="38"/>
  <c r="G52" i="38"/>
  <c r="F52" i="38"/>
  <c r="E52" i="38"/>
  <c r="D52" i="38"/>
  <c r="C52" i="38"/>
  <c r="B52" i="38"/>
  <c r="P51" i="38"/>
  <c r="O51" i="38"/>
  <c r="N51" i="38"/>
  <c r="K51" i="38"/>
  <c r="J51" i="38"/>
  <c r="G51" i="38"/>
  <c r="F51" i="38"/>
  <c r="E51" i="38"/>
  <c r="D51" i="38"/>
  <c r="C51" i="38"/>
  <c r="B51" i="38"/>
  <c r="P50" i="38"/>
  <c r="O50" i="38"/>
  <c r="N50" i="38"/>
  <c r="K50" i="38"/>
  <c r="J50" i="38"/>
  <c r="G50" i="38"/>
  <c r="F50" i="38"/>
  <c r="E50" i="38"/>
  <c r="D50" i="38"/>
  <c r="C50" i="38"/>
  <c r="B50" i="38"/>
  <c r="P49" i="38"/>
  <c r="O49" i="38"/>
  <c r="N49" i="38"/>
  <c r="K49" i="38"/>
  <c r="J49" i="38"/>
  <c r="G49" i="38"/>
  <c r="F49" i="38"/>
  <c r="E49" i="38"/>
  <c r="D49" i="38"/>
  <c r="C49" i="38"/>
  <c r="B49" i="38"/>
  <c r="P48" i="38"/>
  <c r="O48" i="38"/>
  <c r="N48" i="38"/>
  <c r="K48" i="38"/>
  <c r="J48" i="38"/>
  <c r="G48" i="38"/>
  <c r="F48" i="38"/>
  <c r="E48" i="38"/>
  <c r="D48" i="38"/>
  <c r="C48" i="38"/>
  <c r="B48" i="38"/>
  <c r="P47" i="38"/>
  <c r="O47" i="38"/>
  <c r="N47" i="38"/>
  <c r="K47" i="38"/>
  <c r="J47" i="38"/>
  <c r="G47" i="38"/>
  <c r="F47" i="38"/>
  <c r="E47" i="38"/>
  <c r="D47" i="38"/>
  <c r="C47" i="38"/>
  <c r="B47" i="38"/>
  <c r="P46" i="38"/>
  <c r="O46" i="38"/>
  <c r="N46" i="38"/>
  <c r="K46" i="38"/>
  <c r="J46" i="38"/>
  <c r="G46" i="38"/>
  <c r="F46" i="38"/>
  <c r="E46" i="38"/>
  <c r="D46" i="38"/>
  <c r="C46" i="38"/>
  <c r="B46" i="38"/>
  <c r="P45" i="38"/>
  <c r="O45" i="38"/>
  <c r="N45" i="38"/>
  <c r="K45" i="38"/>
  <c r="J45" i="38"/>
  <c r="G45" i="38"/>
  <c r="F45" i="38"/>
  <c r="E45" i="38"/>
  <c r="D45" i="38"/>
  <c r="C45" i="38"/>
  <c r="B45" i="38"/>
  <c r="P44" i="38"/>
  <c r="O44" i="38"/>
  <c r="N44" i="38"/>
  <c r="K44" i="38"/>
  <c r="J44" i="38"/>
  <c r="G44" i="38"/>
  <c r="F44" i="38"/>
  <c r="E44" i="38"/>
  <c r="D44" i="38"/>
  <c r="C44" i="38"/>
  <c r="B44" i="38"/>
  <c r="P43" i="38"/>
  <c r="O43" i="38"/>
  <c r="N43" i="38"/>
  <c r="K43" i="38"/>
  <c r="J43" i="38"/>
  <c r="G43" i="38"/>
  <c r="F43" i="38"/>
  <c r="E43" i="38"/>
  <c r="D43" i="38"/>
  <c r="C43" i="38"/>
  <c r="B43" i="38"/>
  <c r="P42" i="38"/>
  <c r="O42" i="38"/>
  <c r="N42" i="38"/>
  <c r="K42" i="38"/>
  <c r="J42" i="38"/>
  <c r="G42" i="38"/>
  <c r="F42" i="38"/>
  <c r="E42" i="38"/>
  <c r="D42" i="38"/>
  <c r="C42" i="38"/>
  <c r="B42" i="38"/>
  <c r="P41" i="38"/>
  <c r="O41" i="38"/>
  <c r="N41" i="38"/>
  <c r="K41" i="38"/>
  <c r="J41" i="38"/>
  <c r="G41" i="38"/>
  <c r="F41" i="38"/>
  <c r="E41" i="38"/>
  <c r="D41" i="38"/>
  <c r="C41" i="38"/>
  <c r="B41" i="38"/>
  <c r="P40" i="38"/>
  <c r="O40" i="38"/>
  <c r="N40" i="38"/>
  <c r="K40" i="38"/>
  <c r="J40" i="38"/>
  <c r="G40" i="38"/>
  <c r="F40" i="38"/>
  <c r="E40" i="38"/>
  <c r="D40" i="38"/>
  <c r="C40" i="38"/>
  <c r="B40" i="38"/>
  <c r="P39" i="38"/>
  <c r="O39" i="38"/>
  <c r="N39" i="38"/>
  <c r="K39" i="38"/>
  <c r="J39" i="38"/>
  <c r="G39" i="38"/>
  <c r="F39" i="38"/>
  <c r="E39" i="38"/>
  <c r="D39" i="38"/>
  <c r="C39" i="38"/>
  <c r="B39" i="38"/>
  <c r="P38" i="38"/>
  <c r="O38" i="38"/>
  <c r="N38" i="38"/>
  <c r="K38" i="38"/>
  <c r="J38" i="38"/>
  <c r="G38" i="38"/>
  <c r="F38" i="38"/>
  <c r="E38" i="38"/>
  <c r="D38" i="38"/>
  <c r="C38" i="38"/>
  <c r="B38" i="38"/>
  <c r="P37" i="38"/>
  <c r="O37" i="38"/>
  <c r="N37" i="38"/>
  <c r="K37" i="38"/>
  <c r="J37" i="38"/>
  <c r="G37" i="38"/>
  <c r="F37" i="38"/>
  <c r="E37" i="38"/>
  <c r="D37" i="38"/>
  <c r="C37" i="38"/>
  <c r="B37" i="38"/>
  <c r="P36" i="38"/>
  <c r="O36" i="38"/>
  <c r="N36" i="38"/>
  <c r="K36" i="38"/>
  <c r="J36" i="38"/>
  <c r="G36" i="38"/>
  <c r="F36" i="38"/>
  <c r="E36" i="38"/>
  <c r="D36" i="38"/>
  <c r="C36" i="38"/>
  <c r="B36" i="38"/>
  <c r="P35" i="38"/>
  <c r="O35" i="38"/>
  <c r="N35" i="38"/>
  <c r="K35" i="38"/>
  <c r="J35" i="38"/>
  <c r="G35" i="38"/>
  <c r="F35" i="38"/>
  <c r="E35" i="38"/>
  <c r="D35" i="38"/>
  <c r="C35" i="38"/>
  <c r="B35" i="38"/>
  <c r="P34" i="38"/>
  <c r="O34" i="38"/>
  <c r="N34" i="38"/>
  <c r="K34" i="38"/>
  <c r="J34" i="38"/>
  <c r="G34" i="38"/>
  <c r="F34" i="38"/>
  <c r="E34" i="38"/>
  <c r="D34" i="38"/>
  <c r="C34" i="38"/>
  <c r="B34" i="38"/>
  <c r="P33" i="38"/>
  <c r="O33" i="38"/>
  <c r="N33" i="38"/>
  <c r="K33" i="38"/>
  <c r="J33" i="38"/>
  <c r="G33" i="38"/>
  <c r="F33" i="38"/>
  <c r="E33" i="38"/>
  <c r="D33" i="38"/>
  <c r="C33" i="38"/>
  <c r="B33" i="38"/>
  <c r="P32" i="38"/>
  <c r="O32" i="38"/>
  <c r="N32" i="38"/>
  <c r="K32" i="38"/>
  <c r="J32" i="38"/>
  <c r="G32" i="38"/>
  <c r="F32" i="38"/>
  <c r="E32" i="38"/>
  <c r="D32" i="38"/>
  <c r="C32" i="38"/>
  <c r="B32" i="38"/>
  <c r="P31" i="38"/>
  <c r="O31" i="38"/>
  <c r="N31" i="38"/>
  <c r="K31" i="38"/>
  <c r="J31" i="38"/>
  <c r="G31" i="38"/>
  <c r="F31" i="38"/>
  <c r="E31" i="38"/>
  <c r="D31" i="38"/>
  <c r="C31" i="38"/>
  <c r="B31" i="38"/>
  <c r="P30" i="38"/>
  <c r="O30" i="38"/>
  <c r="N30" i="38"/>
  <c r="K30" i="38"/>
  <c r="J30" i="38"/>
  <c r="G30" i="38"/>
  <c r="F30" i="38"/>
  <c r="E30" i="38"/>
  <c r="D30" i="38"/>
  <c r="C30" i="38"/>
  <c r="B30" i="38"/>
  <c r="P29" i="38"/>
  <c r="O29" i="38"/>
  <c r="N29" i="38"/>
  <c r="K29" i="38"/>
  <c r="J29" i="38"/>
  <c r="G29" i="38"/>
  <c r="F29" i="38"/>
  <c r="E29" i="38"/>
  <c r="D29" i="38"/>
  <c r="C29" i="38"/>
  <c r="B29" i="38"/>
  <c r="P28" i="38"/>
  <c r="O28" i="38"/>
  <c r="N28" i="38"/>
  <c r="K28" i="38"/>
  <c r="J28" i="38"/>
  <c r="G28" i="38"/>
  <c r="F28" i="38"/>
  <c r="E28" i="38"/>
  <c r="D28" i="38"/>
  <c r="C28" i="38"/>
  <c r="B28" i="38"/>
  <c r="P27" i="38"/>
  <c r="O27" i="38"/>
  <c r="N27" i="38"/>
  <c r="K27" i="38"/>
  <c r="J27" i="38"/>
  <c r="G27" i="38"/>
  <c r="F27" i="38"/>
  <c r="E27" i="38"/>
  <c r="D27" i="38"/>
  <c r="C27" i="38"/>
  <c r="B27" i="38"/>
  <c r="P26" i="38"/>
  <c r="O26" i="38"/>
  <c r="N26" i="38"/>
  <c r="K26" i="38"/>
  <c r="J26" i="38"/>
  <c r="G26" i="38"/>
  <c r="F26" i="38"/>
  <c r="E26" i="38"/>
  <c r="D26" i="38"/>
  <c r="C26" i="38"/>
  <c r="B26" i="38"/>
  <c r="P25" i="38"/>
  <c r="O25" i="38"/>
  <c r="N25" i="38"/>
  <c r="K25" i="38"/>
  <c r="J25" i="38"/>
  <c r="G25" i="38"/>
  <c r="F25" i="38"/>
  <c r="E25" i="38"/>
  <c r="D25" i="38"/>
  <c r="C25" i="38"/>
  <c r="B25" i="38"/>
  <c r="P24" i="38"/>
  <c r="O24" i="38"/>
  <c r="N24" i="38"/>
  <c r="K24" i="38"/>
  <c r="J24" i="38"/>
  <c r="G24" i="38"/>
  <c r="F24" i="38"/>
  <c r="E24" i="38"/>
  <c r="D24" i="38"/>
  <c r="C24" i="38"/>
  <c r="B24" i="38"/>
  <c r="P23" i="38"/>
  <c r="O23" i="38"/>
  <c r="N23" i="38"/>
  <c r="K23" i="38"/>
  <c r="J23" i="38"/>
  <c r="G23" i="38"/>
  <c r="F23" i="38"/>
  <c r="E23" i="38"/>
  <c r="D23" i="38"/>
  <c r="C23" i="38"/>
  <c r="B23" i="38"/>
  <c r="P22" i="38"/>
  <c r="O22" i="38"/>
  <c r="N22" i="38"/>
  <c r="K22" i="38"/>
  <c r="J22" i="38"/>
  <c r="G22" i="38"/>
  <c r="F22" i="38"/>
  <c r="E22" i="38"/>
  <c r="D22" i="38"/>
  <c r="C22" i="38"/>
  <c r="B22" i="38"/>
  <c r="P21" i="38"/>
  <c r="O21" i="38"/>
  <c r="N21" i="38"/>
  <c r="K21" i="38"/>
  <c r="J21" i="38"/>
  <c r="G21" i="38"/>
  <c r="F21" i="38"/>
  <c r="E21" i="38"/>
  <c r="D21" i="38"/>
  <c r="C21" i="38"/>
  <c r="B21" i="38"/>
  <c r="P20" i="38"/>
  <c r="O20" i="38"/>
  <c r="N20" i="38"/>
  <c r="K20" i="38"/>
  <c r="J20" i="38"/>
  <c r="G20" i="38"/>
  <c r="F20" i="38"/>
  <c r="E20" i="38"/>
  <c r="D20" i="38"/>
  <c r="C20" i="38"/>
  <c r="B20" i="38"/>
  <c r="P19" i="38"/>
  <c r="O19" i="38"/>
  <c r="N19" i="38"/>
  <c r="K19" i="38"/>
  <c r="J19" i="38"/>
  <c r="G19" i="38"/>
  <c r="F19" i="38"/>
  <c r="E19" i="38"/>
  <c r="D19" i="38"/>
  <c r="C19" i="38"/>
  <c r="B19" i="38"/>
  <c r="P18" i="38"/>
  <c r="O18" i="38"/>
  <c r="N18" i="38"/>
  <c r="K18" i="38"/>
  <c r="J18" i="38"/>
  <c r="G18" i="38"/>
  <c r="F18" i="38"/>
  <c r="E18" i="38"/>
  <c r="D18" i="38"/>
  <c r="C18" i="38"/>
  <c r="B18" i="38"/>
  <c r="P17" i="38"/>
  <c r="O17" i="38"/>
  <c r="N17" i="38"/>
  <c r="K17" i="38"/>
  <c r="J17" i="38"/>
  <c r="G17" i="38"/>
  <c r="F17" i="38"/>
  <c r="E17" i="38"/>
  <c r="D17" i="38"/>
  <c r="C17" i="38"/>
  <c r="B17" i="38"/>
  <c r="P16" i="38"/>
  <c r="O16" i="38"/>
  <c r="N16" i="38"/>
  <c r="K16" i="38"/>
  <c r="J16" i="38"/>
  <c r="G16" i="38"/>
  <c r="F16" i="38"/>
  <c r="E16" i="38"/>
  <c r="D16" i="38"/>
  <c r="C16" i="38"/>
  <c r="B16" i="38"/>
  <c r="P15" i="38"/>
  <c r="O15" i="38"/>
  <c r="N15" i="38"/>
  <c r="K15" i="38"/>
  <c r="J15" i="38"/>
  <c r="G15" i="38"/>
  <c r="F15" i="38"/>
  <c r="E15" i="38"/>
  <c r="D15" i="38"/>
  <c r="C15" i="38"/>
  <c r="B15" i="38"/>
  <c r="P14" i="38"/>
  <c r="O14" i="38"/>
  <c r="N14" i="38"/>
  <c r="K14" i="38"/>
  <c r="J14" i="38"/>
  <c r="G14" i="38"/>
  <c r="F14" i="38"/>
  <c r="E14" i="38"/>
  <c r="D14" i="38"/>
  <c r="C14" i="38"/>
  <c r="B14" i="38"/>
  <c r="P13" i="38"/>
  <c r="O13" i="38"/>
  <c r="N13" i="38"/>
  <c r="K13" i="38"/>
  <c r="J13" i="38"/>
  <c r="G13" i="38"/>
  <c r="F13" i="38"/>
  <c r="E13" i="38"/>
  <c r="D13" i="38"/>
  <c r="C13" i="38"/>
  <c r="B13" i="38"/>
  <c r="P12" i="38"/>
  <c r="O12" i="38"/>
  <c r="N12" i="38"/>
  <c r="K12" i="38"/>
  <c r="J12" i="38"/>
  <c r="G12" i="38"/>
  <c r="F12" i="38"/>
  <c r="E12" i="38"/>
  <c r="D12" i="38"/>
  <c r="C12" i="38"/>
  <c r="B12" i="38"/>
  <c r="P11" i="38"/>
  <c r="O11" i="38"/>
  <c r="N11" i="38"/>
  <c r="K11" i="38"/>
  <c r="J11" i="38"/>
  <c r="G11" i="38"/>
  <c r="F11" i="38"/>
  <c r="E11" i="38"/>
  <c r="D11" i="38"/>
  <c r="C11" i="38"/>
  <c r="B11" i="38"/>
  <c r="G4" i="38"/>
  <c r="G97" i="41"/>
  <c r="E97" i="41"/>
  <c r="G96" i="41"/>
  <c r="E96" i="41"/>
  <c r="G95" i="41"/>
  <c r="E95" i="41"/>
  <c r="G94" i="41"/>
  <c r="E94" i="41"/>
  <c r="G93" i="41"/>
  <c r="E93" i="41"/>
  <c r="G92" i="41"/>
  <c r="E92" i="41"/>
  <c r="G91" i="41"/>
  <c r="E91" i="41"/>
  <c r="G90" i="41"/>
  <c r="E90" i="41"/>
  <c r="G89" i="41"/>
  <c r="E89" i="41"/>
  <c r="G88" i="41"/>
  <c r="E88" i="41"/>
  <c r="G87" i="41"/>
  <c r="E87" i="41"/>
  <c r="G86" i="41"/>
  <c r="E86" i="41"/>
  <c r="G85" i="41"/>
  <c r="E85" i="41"/>
  <c r="G84" i="41"/>
  <c r="E84" i="41"/>
  <c r="G83" i="41"/>
  <c r="E83" i="41"/>
  <c r="G82" i="41"/>
  <c r="E82" i="41"/>
  <c r="G81" i="41"/>
  <c r="E81" i="41"/>
  <c r="G80" i="41"/>
  <c r="E80" i="41"/>
  <c r="G79" i="41"/>
  <c r="E79" i="41"/>
  <c r="G78" i="41"/>
  <c r="E78" i="41"/>
  <c r="G77" i="41"/>
  <c r="E77" i="41"/>
  <c r="G76" i="41"/>
  <c r="E76" i="41"/>
  <c r="G75" i="41"/>
  <c r="E75" i="41"/>
  <c r="G74" i="41"/>
  <c r="E74" i="41"/>
  <c r="G73" i="41"/>
  <c r="E73" i="41"/>
  <c r="G72" i="41"/>
  <c r="E72" i="41"/>
  <c r="G71" i="41"/>
  <c r="E71" i="41"/>
  <c r="G70" i="41"/>
  <c r="E70" i="41"/>
  <c r="G69" i="41"/>
  <c r="E69" i="41"/>
  <c r="G68" i="41"/>
  <c r="E68" i="41"/>
  <c r="G67" i="41"/>
  <c r="E67" i="41"/>
  <c r="G66" i="41"/>
  <c r="E66" i="41"/>
  <c r="G65" i="41"/>
  <c r="E65" i="41"/>
  <c r="G64" i="41"/>
  <c r="E64" i="41"/>
  <c r="G63" i="41"/>
  <c r="E63" i="41"/>
  <c r="G62" i="41"/>
  <c r="E62" i="41"/>
  <c r="G61" i="41"/>
  <c r="E61" i="41"/>
  <c r="G60" i="41"/>
  <c r="E60" i="41"/>
  <c r="G59" i="41"/>
  <c r="E59" i="41"/>
  <c r="G58" i="41"/>
  <c r="E58" i="41"/>
  <c r="G57" i="41"/>
  <c r="E57" i="41"/>
  <c r="G56" i="41"/>
  <c r="E56" i="41"/>
  <c r="G55" i="41"/>
  <c r="E55" i="41"/>
  <c r="G54" i="41"/>
  <c r="E54" i="41"/>
  <c r="G53" i="41"/>
  <c r="E53" i="41"/>
  <c r="G52" i="41"/>
  <c r="E52" i="41"/>
  <c r="G51" i="41"/>
  <c r="E51" i="41"/>
  <c r="G50" i="41"/>
  <c r="E50" i="41"/>
  <c r="G49" i="41"/>
  <c r="E49" i="41"/>
  <c r="G48" i="41"/>
  <c r="E48" i="41"/>
  <c r="G47" i="41"/>
  <c r="E47" i="41"/>
  <c r="G46" i="41"/>
  <c r="E46" i="41"/>
  <c r="G45" i="41"/>
  <c r="E45" i="41"/>
  <c r="G44" i="41"/>
  <c r="E44" i="41"/>
  <c r="G43" i="41"/>
  <c r="E43" i="41"/>
  <c r="G42" i="41"/>
  <c r="E42" i="41"/>
  <c r="G41" i="41"/>
  <c r="E41" i="41"/>
  <c r="G40" i="41"/>
  <c r="E40" i="41"/>
  <c r="G39" i="41"/>
  <c r="E39" i="41"/>
  <c r="G38" i="41"/>
  <c r="E38" i="41"/>
  <c r="G37" i="41"/>
  <c r="E37" i="41"/>
  <c r="G36" i="41"/>
  <c r="E36" i="41"/>
  <c r="G35" i="41"/>
  <c r="E35" i="41"/>
  <c r="G34" i="41"/>
  <c r="E34" i="41"/>
  <c r="G33" i="41"/>
  <c r="E33" i="41"/>
  <c r="G32" i="41"/>
  <c r="E32" i="41"/>
  <c r="G31" i="41"/>
  <c r="E31" i="41"/>
  <c r="G30" i="41"/>
  <c r="E30" i="41"/>
  <c r="G29" i="41"/>
  <c r="E29" i="41"/>
  <c r="G28" i="41"/>
  <c r="E28" i="41"/>
  <c r="G27" i="41"/>
  <c r="E27" i="41"/>
  <c r="G26" i="41"/>
  <c r="E26" i="41"/>
  <c r="G25" i="41"/>
  <c r="E25" i="41"/>
  <c r="G24" i="41"/>
  <c r="E24" i="41"/>
  <c r="G23" i="41"/>
  <c r="E23" i="41"/>
  <c r="G22" i="41"/>
  <c r="E22" i="41"/>
  <c r="G21" i="41"/>
  <c r="E21" i="41"/>
  <c r="G20" i="41"/>
  <c r="E20" i="41"/>
  <c r="G19" i="41"/>
  <c r="E19" i="41"/>
  <c r="G18" i="41"/>
  <c r="E18" i="41"/>
  <c r="G17" i="41"/>
  <c r="E17" i="41"/>
  <c r="G16" i="41"/>
  <c r="E16" i="41"/>
  <c r="G15" i="41"/>
  <c r="E15" i="41"/>
  <c r="G14" i="41"/>
  <c r="E14" i="41"/>
  <c r="G13" i="41"/>
  <c r="E13" i="41"/>
  <c r="G12" i="41"/>
  <c r="E12" i="41"/>
  <c r="G11" i="41"/>
  <c r="E11" i="41"/>
  <c r="E7" i="41"/>
  <c r="D24" i="47"/>
  <c r="D23" i="47"/>
  <c r="D22" i="47"/>
  <c r="D20" i="47"/>
  <c r="D19" i="47"/>
  <c r="D18" i="47"/>
  <c r="D17" i="47"/>
  <c r="C15" i="47"/>
  <c r="D14" i="47"/>
  <c r="D13" i="47"/>
  <c r="D11" i="47"/>
  <c r="D10" i="47"/>
  <c r="D9" i="47"/>
  <c r="D8" i="47"/>
  <c r="D7" i="47"/>
  <c r="D5" i="47"/>
</calcChain>
</file>

<file path=xl/sharedStrings.xml><?xml version="1.0" encoding="utf-8"?>
<sst xmlns="http://schemas.openxmlformats.org/spreadsheetml/2006/main" count="991" uniqueCount="461">
  <si>
    <t>חדר אוכל</t>
  </si>
  <si>
    <t>יחידת מדפים</t>
  </si>
  <si>
    <t>חדר מנוחה</t>
  </si>
  <si>
    <t>מדפסת משולבת</t>
  </si>
  <si>
    <t>דלפק קבלה</t>
  </si>
  <si>
    <t>חדר מנהל</t>
  </si>
  <si>
    <t>חדר ניקיון</t>
  </si>
  <si>
    <t>תנור מיקרוגל</t>
  </si>
  <si>
    <t>מזוזות</t>
  </si>
  <si>
    <t>סה"כ</t>
  </si>
  <si>
    <t>חדר סנוזלן</t>
  </si>
  <si>
    <t>חדר מחשבים</t>
  </si>
  <si>
    <t>מכבסה</t>
  </si>
  <si>
    <t xml:space="preserve">כורסת הסבה  </t>
  </si>
  <si>
    <t>שולחן מחשב</t>
  </si>
  <si>
    <t>תשושי נפש</t>
  </si>
  <si>
    <t>ריהוט</t>
  </si>
  <si>
    <t>מיחשוב</t>
  </si>
  <si>
    <t>שעון נוכחות</t>
  </si>
  <si>
    <t>תיאור הפריט</t>
  </si>
  <si>
    <t>עם הפנים לקהילה</t>
  </si>
  <si>
    <t>דפיברלטור</t>
  </si>
  <si>
    <t>מגדיל טווח WIFI</t>
  </si>
  <si>
    <t>כוננית לאיחסון כלים וסירים</t>
  </si>
  <si>
    <t>כללי</t>
  </si>
  <si>
    <t>מטבח</t>
  </si>
  <si>
    <t>הנגשת שמע</t>
  </si>
  <si>
    <t>ציוד אלקטרוני</t>
  </si>
  <si>
    <t>כלי חשמל</t>
  </si>
  <si>
    <t>אביזרים</t>
  </si>
  <si>
    <t>חוגים</t>
  </si>
  <si>
    <t>עיצוב פנים - תקציב למעצב/ת</t>
  </si>
  <si>
    <t>פרגוד אחות 3 כנפיים</t>
  </si>
  <si>
    <t>ארון תחתון+כיור+ברז+משטח</t>
  </si>
  <si>
    <t>כיסא אוכל</t>
  </si>
  <si>
    <t>כורסת מנוחה חשמלית</t>
  </si>
  <si>
    <t>כמות</t>
  </si>
  <si>
    <t>רכיבי המערכת</t>
  </si>
  <si>
    <t>מגבר אישי לשיחות אחד-על-אחד</t>
  </si>
  <si>
    <t xml:space="preserve">חדר אוכל רב תכליתי/אולם </t>
  </si>
  <si>
    <t>שולחן אוכל (4 מקומות)</t>
  </si>
  <si>
    <t>חדרי צוות/רב תחומי</t>
  </si>
  <si>
    <t>חדרי פעילות/תעסוקה</t>
  </si>
  <si>
    <t>חדר מזכירות וקבלה</t>
  </si>
  <si>
    <t>מעבד מזון מקצועי</t>
  </si>
  <si>
    <t>מיקסר מקצועי</t>
  </si>
  <si>
    <t>עגלת נירוסטה לפח אשפה</t>
  </si>
  <si>
    <t>עלות ליחידה כולל מע"מ</t>
  </si>
  <si>
    <t>מיטת טיפול</t>
  </si>
  <si>
    <t>כסא מתכוונן</t>
  </si>
  <si>
    <t>כסא מטפל</t>
  </si>
  <si>
    <t>שולחן מתכוונן חשמלי</t>
  </si>
  <si>
    <t>שולחן מתכוונן טלסקופי</t>
  </si>
  <si>
    <t xml:space="preserve">ציוד תרגול מוטוריקה </t>
  </si>
  <si>
    <t>מזרונים טיפוליים</t>
  </si>
  <si>
    <t>סט חמישה ספסלים</t>
  </si>
  <si>
    <t>סטיילוס</t>
  </si>
  <si>
    <t>מקרן</t>
  </si>
  <si>
    <t>מסך הקרנה נגלל</t>
  </si>
  <si>
    <t>חשמלון להפעלת מכשירי חשמל עם מתג</t>
  </si>
  <si>
    <t>שולחן אחות אילמת</t>
  </si>
  <si>
    <t>מולטי טריינר שיקומי</t>
  </si>
  <si>
    <t>מכשיר אימון APT </t>
  </si>
  <si>
    <t>סטפר</t>
  </si>
  <si>
    <t>הליכון חשמלי</t>
  </si>
  <si>
    <t>אופני כושר ושיקום</t>
  </si>
  <si>
    <t xml:space="preserve">אופני ידיים </t>
  </si>
  <si>
    <t>תלת אופן מותאם</t>
  </si>
  <si>
    <t>לוח מחיק יד</t>
  </si>
  <si>
    <t>מכשיר הידרוקולטור Hydrocollator + כריות חימום ייעודיות</t>
  </si>
  <si>
    <t>מכשיר US אולטרסאונד טיפולי</t>
  </si>
  <si>
    <t>ארון איחסון לעזרים</t>
  </si>
  <si>
    <t>מנהרת אורות לד</t>
  </si>
  <si>
    <t>מערכת כריזת חירום</t>
  </si>
  <si>
    <t>מכונת שטיפה</t>
  </si>
  <si>
    <t>הספק יתחייב לבדיקה תקופתית לתקינות המערכות בכל משך האחריות (אחת לשנה מתום השנה הראשונה).</t>
  </si>
  <si>
    <t>כיסא גלגלים</t>
  </si>
  <si>
    <t>מערכת אזעקה ומצלמות</t>
  </si>
  <si>
    <t>מיטה חשמלית</t>
  </si>
  <si>
    <t>תנור בישול ואפייה</t>
  </si>
  <si>
    <t>ארון חימום תבניות</t>
  </si>
  <si>
    <t>תאריך הגשת הבקשה:</t>
  </si>
  <si>
    <t>טלפון איש קשר:</t>
  </si>
  <si>
    <t>אימייל איש קשר:</t>
  </si>
  <si>
    <t>שם מרכז היום:</t>
  </si>
  <si>
    <t>סוג פריט</t>
  </si>
  <si>
    <t>עלות פריט</t>
  </si>
  <si>
    <t>בקשת הגוף</t>
  </si>
  <si>
    <t>כמות מבוקשת</t>
  </si>
  <si>
    <t>סטייה מהתקן</t>
  </si>
  <si>
    <t>ריפוי בעיסוק ופיזיותרפיה</t>
  </si>
  <si>
    <t>טיפוח חן/מספרה</t>
  </si>
  <si>
    <t>הוכן בסיוע חגית רובין, מרפאה בעיסוק, מורשית נגישות השירות</t>
  </si>
  <si>
    <t>כתובת מרכז היום:</t>
  </si>
  <si>
    <t xml:space="preserve">מקבילים </t>
  </si>
  <si>
    <t>מדרגות שיקומיות מעץ</t>
  </si>
  <si>
    <t>קונסולות משחק</t>
  </si>
  <si>
    <t>מכשיר גלים קצרים</t>
  </si>
  <si>
    <t xml:space="preserve">כסא לקוח עם ידיות עבור פעילות קבוצתית בחדר </t>
  </si>
  <si>
    <t>פריטים</t>
  </si>
  <si>
    <t>כמות תקן למסגרת</t>
  </si>
  <si>
    <t>סך עלות כולל מע"מ</t>
  </si>
  <si>
    <t xml:space="preserve">כמות מבוקשת </t>
  </si>
  <si>
    <t>תקציב מבוקש</t>
  </si>
  <si>
    <t>הערות הגוף</t>
  </si>
  <si>
    <t xml:space="preserve">כמות מאושרת </t>
  </si>
  <si>
    <t>תקציב מאושר</t>
  </si>
  <si>
    <t>תקן חוגים</t>
  </si>
  <si>
    <t>לוקר לשמירה והטענת טבלטים, טלפונים ומחשבים ניידים (עד 10 יחידות בו זמנית)</t>
  </si>
  <si>
    <t>הצעת מחיר א'</t>
  </si>
  <si>
    <t xml:space="preserve">הצעת מחיר ב' </t>
  </si>
  <si>
    <t xml:space="preserve">הצעת מחיר ג' </t>
  </si>
  <si>
    <t xml:space="preserve">סך עלות הבקשה </t>
  </si>
  <si>
    <t>הערות הגוף המבקש</t>
  </si>
  <si>
    <t>אישור מחיר חריג</t>
  </si>
  <si>
    <t>הערות מנהל/ת התוכנית</t>
  </si>
  <si>
    <t>תקן תוספות מיוחדות</t>
  </si>
  <si>
    <t>תקן ריפוי בעיסוק ופיזותרפיה</t>
  </si>
  <si>
    <t>ריהוט לחדר</t>
  </si>
  <si>
    <t>ציוד טכנולוגי</t>
  </si>
  <si>
    <t>ציוד אביזרי עזר, הושבה וניידות</t>
  </si>
  <si>
    <t>ציוד לקידום מיומנויות קוגניטיביות</t>
  </si>
  <si>
    <t>ציוד מכשור טיפולי ושיקומי</t>
  </si>
  <si>
    <t>ציוד ADL ותחושה</t>
  </si>
  <si>
    <t>תקן ציוד כללי (המחירים בש"ח וכוללים מע"מ)</t>
  </si>
  <si>
    <t>תקן הנגשת ראיה (המחירים בש"ח וכוללים מע"מ)</t>
  </si>
  <si>
    <t>תקן הנגשת ראיה</t>
  </si>
  <si>
    <t>תקציב מבוקש כולל מע"מ</t>
  </si>
  <si>
    <t>תקציב מאושר כולל מע"מ</t>
  </si>
  <si>
    <t>הערות יועץ</t>
  </si>
  <si>
    <t>תקן הנגשת שמע (המחירים בש"ח וכוללים מע"מ)</t>
  </si>
  <si>
    <t>תקן הנגשת שמע</t>
  </si>
  <si>
    <t>מיקום</t>
  </si>
  <si>
    <t>תקן הצטיידות ריפוי בעיסוק ופיזיותרפיה (המחירים בש"ח וכוללים מע"מ)</t>
  </si>
  <si>
    <t>כריות שונות: פיתה, פילאטיס, תמיכה ועוד (סכום גלובלי)</t>
  </si>
  <si>
    <t>אביזרים לתרגול והפעלת כף היד (סכום גלובלי)</t>
  </si>
  <si>
    <t>עזרים לטיפול מוטורי אישי וקבוצתי כמו: גומיות, טבעות, מצנח, מקלות, שקיות שעועית, קונוסים, כדורים, טרבנד, טרפלסט וכד' (סכום גלובלי)</t>
  </si>
  <si>
    <t>משחקי מרחב, בנייה והרכבה (סכום גלובלי)</t>
  </si>
  <si>
    <t>משחקי חשיבה ואסטרטגיה (סכום גלובלי)</t>
  </si>
  <si>
    <t>משחקי פנאי (סכום גלובלי)</t>
  </si>
  <si>
    <t>משחקי מוטוריקה עדינה (סכום גלובלי)</t>
  </si>
  <si>
    <t>משחקי ריצפה קבוצתיים ענקיים כמו: שחמט, דמקה, סולמות וחבלים וכו' (סכום גלובלי)</t>
  </si>
  <si>
    <t>משחקי חשיבה לתלייה על קיר ומשחק בעמידה (סכום גלובלי)</t>
  </si>
  <si>
    <t>אביזרי ADL מותאמים כולל עזרי אכילה (סכום גלובלי)</t>
  </si>
  <si>
    <t>מרחב חושי (המחירים בש"ח וכוללים מע"מ)</t>
  </si>
  <si>
    <t>תקן מרחב חושי</t>
  </si>
  <si>
    <t>ציוד כללי לגינון טיפולי</t>
  </si>
  <si>
    <t>ציוד כללי לחממה</t>
  </si>
  <si>
    <t>תקן הצטיידות לחוגים (המחירים בש"ח וכוללים מע"מ)</t>
  </si>
  <si>
    <t xml:space="preserve"> עם הפנים לקהילה (המחירים בש"ח וכוללים מע"מ)</t>
  </si>
  <si>
    <t>תקן עם הפנים לקהילה</t>
  </si>
  <si>
    <t>סכום מקסימלי לפי קול קורא:</t>
  </si>
  <si>
    <t>לאישור הוועדה</t>
  </si>
  <si>
    <t>אחוז מימון</t>
  </si>
  <si>
    <t xml:space="preserve">סכום מימון </t>
  </si>
  <si>
    <t>קו עימות:</t>
  </si>
  <si>
    <t>מרחב חושי</t>
  </si>
  <si>
    <t>גינון טיפולי וחממה</t>
  </si>
  <si>
    <t>פנאי וטכנולוגיה מסייעת</t>
  </si>
  <si>
    <t>תקן פנאי וטכנולוגיה מסייעת</t>
  </si>
  <si>
    <t>פנאי וטכנולוגיה מסייעת (המחירים בש"ח וכוללים מע"מ)</t>
  </si>
  <si>
    <r>
      <t xml:space="preserve">האישור לחדר זה </t>
    </r>
    <r>
      <rPr>
        <b/>
        <sz val="12"/>
        <rFont val="Arial"/>
        <family val="2"/>
      </rPr>
      <t>מותנה</t>
    </r>
    <r>
      <rPr>
        <sz val="12"/>
        <rFont val="Arial"/>
        <family val="2"/>
      </rPr>
      <t xml:space="preserve"> בהעסקת עובד שקיבל הכשרה רשמית בתחום ובהכשרת חדר יעודי</t>
    </r>
  </si>
  <si>
    <t>טאבלט מסוג אנדרואיד כולל מגן מסך וכבל הטענה</t>
  </si>
  <si>
    <t>באחריות המרכז לבדוק האם יש צורך באישור מיוחד ו/או היתר בנייה ולפעול בהתאם.</t>
  </si>
  <si>
    <t>המלצות הצטיידות ינתנו בשיתוף יועץ הביטוח הלאומי, מומחה לתחום הצטיידות מקצועות הבריאות.</t>
  </si>
  <si>
    <t xml:space="preserve">התקציב הוא להצטיידות בלבד ואינו כולל כוח אדם, הפעלה וחומרים מתכלים. </t>
  </si>
  <si>
    <r>
      <t xml:space="preserve">המערכת מחשבת באופן אוטומטי את עלות הציוד בהתאם </t>
    </r>
    <r>
      <rPr>
        <b/>
        <sz val="12"/>
        <rFont val="Arial"/>
        <family val="2"/>
      </rPr>
      <t>להצעת המחיר הזולה ביותר</t>
    </r>
    <r>
      <rPr>
        <sz val="12"/>
        <rFont val="Arial"/>
        <family val="2"/>
      </rPr>
      <t>.</t>
    </r>
  </si>
  <si>
    <r>
      <t xml:space="preserve">אם קיים צורך לבחור בהצעת מחיר שאינה הזולה ביותר, יש לסמן את ההצעה המבוקשת בעמודה </t>
    </r>
    <r>
      <rPr>
        <b/>
        <sz val="12"/>
        <rFont val="Arial"/>
        <family val="2"/>
      </rPr>
      <t>"בקשת מחיר חריג"</t>
    </r>
    <r>
      <rPr>
        <sz val="12"/>
        <rFont val="Arial"/>
        <family val="2"/>
      </rPr>
      <t xml:space="preserve"> ובמקרה זה, עלות הציוד תחושב בהתאם להצעת המחיר שנבחרה.</t>
    </r>
  </si>
  <si>
    <t>קרנות הביטוח הלאומי</t>
  </si>
  <si>
    <t>קרן סיעוד</t>
  </si>
  <si>
    <r>
      <rPr>
        <b/>
        <sz val="14"/>
        <color theme="1"/>
        <rFont val="Arial"/>
        <family val="2"/>
      </rPr>
      <t xml:space="preserve">הקדמה: </t>
    </r>
    <r>
      <rPr>
        <sz val="14"/>
        <color theme="1"/>
        <rFont val="Arial"/>
        <family val="2"/>
      </rPr>
      <t>תקן ההצטיידות הינו כלי עזר לצורך הגשת בקשה להצטיידות במסגרת קול קורא של קרנות הסיעוד. תקן ההצטיידות  חושב על-פי הכמות המירבית המבוססת על פרוגרמה מעודכנת ואישור הפעלה של "משרד הרווחה והביטחון החברתי". 
כמות החורגת מהתקן יש לנמק בהערות. הציוד צריך להיות ממוגן ובטיחותי. התקן נכתב "בלשון זכר" ובכל מקום שנכתב בלשון זכר הכוונה היא גם ללשון נקבה. מחירי הפריטים השונים הינם בש"ח וכוללים מע"מ.</t>
    </r>
  </si>
  <si>
    <t>דגשים:</t>
  </si>
  <si>
    <t>• הציוד יירכש מחברות שלהן תו תקן ישראלי. כאשר מדובר בפריט ציוד שמיובא מחו"ל יהיה בעל תקן מקביל לתקן הישראלי בהתאם להנחיות מכון התקנים.</t>
  </si>
  <si>
    <r>
      <rPr>
        <b/>
        <sz val="14"/>
        <color rgb="FF000000"/>
        <rFont val="Arial"/>
        <family val="2"/>
      </rPr>
      <t xml:space="preserve">• </t>
    </r>
    <r>
      <rPr>
        <sz val="14"/>
        <color rgb="FF000000"/>
        <rFont val="Arial"/>
        <family val="2"/>
      </rPr>
      <t xml:space="preserve">יש לתת עדיפות לרכישת ציוד המיוצר בארץ לעומת ספקים המייבאים את הציוד שלהם מחו"ל. </t>
    </r>
  </si>
  <si>
    <t xml:space="preserve">• יש לדרוש  מהספקים תקופת אחריות מורחבת, ככל שניתן, ולוודא קיומם של שירותי אחזקה ותיקונים. </t>
  </si>
  <si>
    <t>• המטבח המופיע בתקן הינו מטבח מחמם.</t>
  </si>
  <si>
    <t>• באחריות המרכז לבדוק באילו פריטים יש צורך בהדרכה ו/או אישור הפעלה ו/או איש מקצוע מהתחום (לדוגמא: ציוד פיזיותרפיה, דפיברילטור) ולדאוג לכך.</t>
  </si>
  <si>
    <t>• הציוד אינו כולל חומרים מתכלים.</t>
  </si>
  <si>
    <t>קטן</t>
  </si>
  <si>
    <t>בינוני</t>
  </si>
  <si>
    <t>גדול</t>
  </si>
  <si>
    <t>ה מ ו ס ד    ל ב י ט ו ח    ל א ו מ י</t>
  </si>
  <si>
    <t>גלילים בגדלים שונים (סכום גלובלי)</t>
  </si>
  <si>
    <t>משקולות ידיים ורגליים (סכום גלובלי)</t>
  </si>
  <si>
    <t>פולי עמוד תרגול לחיזוק גפיים עליונות ותחתונות</t>
  </si>
  <si>
    <t>מחשב נייח All in one עם מסך מגע לחדר טיפולים</t>
  </si>
  <si>
    <t>מדפסת צבעונית לחדר טיפולים</t>
  </si>
  <si>
    <t>טאבלט מסוג IOS כולל מגן מסך וכבל הטענה</t>
  </si>
  <si>
    <t>משחקי גירוי תגובה (סכום גלובלי)</t>
  </si>
  <si>
    <t>אביזרי תחושה וגריה (סכום גלובלי)</t>
  </si>
  <si>
    <t>מתגים ומתאמי מתגים (סכום גלובלי)</t>
  </si>
  <si>
    <t>זרועות למתגים ולטאבלט (סכום גלובלי)</t>
  </si>
  <si>
    <t xml:space="preserve"> ציוד כללי</t>
  </si>
  <si>
    <t xml:space="preserve">סה"כ </t>
  </si>
  <si>
    <t>ציוד ייעודי</t>
  </si>
  <si>
    <t xml:space="preserve">רכיבי המערכת </t>
  </si>
  <si>
    <t>לדוגמה: קלפים עם דפוס גדול ועם ברייל, דמקה, שח לעיוורים, דומינו לעיוורים, רמי בברייל</t>
  </si>
  <si>
    <r>
      <t>יש לסמן את הבקשה בסעיף</t>
    </r>
    <r>
      <rPr>
        <b/>
        <sz val="12"/>
        <rFont val="Arial"/>
        <family val="2"/>
      </rPr>
      <t xml:space="preserve"> "בקשת הגוף"</t>
    </r>
    <r>
      <rPr>
        <sz val="12"/>
        <rFont val="Arial"/>
        <family val="2"/>
      </rPr>
      <t xml:space="preserve"> בעמודת </t>
    </r>
    <r>
      <rPr>
        <b/>
        <sz val="12"/>
        <rFont val="Arial"/>
        <family val="2"/>
      </rPr>
      <t>"כמות מבוקשת"</t>
    </r>
    <r>
      <rPr>
        <sz val="12"/>
        <rFont val="Arial"/>
        <family val="2"/>
      </rPr>
      <t>. כאשר הכמות המבוקשת חורגת מהכמות שהוגדרה בתקן יש לפרט ב</t>
    </r>
    <r>
      <rPr>
        <b/>
        <sz val="12"/>
        <rFont val="Arial"/>
        <family val="2"/>
      </rPr>
      <t>"הערות הגוף"</t>
    </r>
    <r>
      <rPr>
        <sz val="12"/>
        <rFont val="Arial"/>
        <family val="2"/>
      </rPr>
      <t xml:space="preserve"> את הנימוקים לחריגה </t>
    </r>
  </si>
  <si>
    <t>קיר ירוק</t>
  </si>
  <si>
    <t>שולחנות גינון טיפוליים נגישים לכיסאות גלגלים</t>
  </si>
  <si>
    <t>מערכת השקיה לערוגות/אדניות</t>
  </si>
  <si>
    <t>כיסאות עבודה: כסאות יציבים עם משענת, כיסאות נמוכים מותאמים לעבודה ליד אדניות</t>
  </si>
  <si>
    <t>משטחי עבודה מונעי החלקה</t>
  </si>
  <si>
    <t>עגלת ציוד ניידת מרכזית</t>
  </si>
  <si>
    <t>שלד חממה מפרופיל ברזל מגולוון, מידות 8×5 מ’</t>
  </si>
  <si>
    <t xml:space="preserve"> קירוי+ וילונות/תריסים - כיסוי מלא עם פתחי איוורור הסגורים בתריסים </t>
  </si>
  <si>
    <t xml:space="preserve"> שולחנות גידול מפרופיל ברזל מגולוון מכוסה בפנל פלסטיק  </t>
  </si>
  <si>
    <t xml:space="preserve">רשת תרמית </t>
  </si>
  <si>
    <t xml:space="preserve"> מערכת השקיה עם מחשב השקיה  </t>
  </si>
  <si>
    <t xml:space="preserve"> שולחן השרשה </t>
  </si>
  <si>
    <t xml:space="preserve">מערכת אוורור </t>
  </si>
  <si>
    <t xml:space="preserve"> ארון חשמל מוגן מים  </t>
  </si>
  <si>
    <t xml:space="preserve"> אביזרי עזר לשימוש בחממה </t>
  </si>
  <si>
    <t xml:space="preserve"> ארון לאחסון ציוד </t>
  </si>
  <si>
    <t xml:space="preserve"> הובלה ובניית המבנה  </t>
  </si>
  <si>
    <t xml:space="preserve"> ספסל </t>
  </si>
  <si>
    <t xml:space="preserve"> פח זבל גינה </t>
  </si>
  <si>
    <t xml:space="preserve"> מאוורר </t>
  </si>
  <si>
    <t xml:space="preserve"> שולחן עבודה מתכוונן חשמלית </t>
  </si>
  <si>
    <t xml:space="preserve"> שולחן עבודה מתכוונן ידנית טלסקופית </t>
  </si>
  <si>
    <t xml:space="preserve"> כלי עבודה נגישים  </t>
  </si>
  <si>
    <t xml:space="preserve"> כסאות מותאמים עם תמיכות   </t>
  </si>
  <si>
    <t>וילון להחשכת חדר מלאה</t>
  </si>
  <si>
    <t>אמצעים לגירוי פרופריוספטיבי ותחושה עמוקה כגון: ווסט משקולות, שמיכת כובד, כדורי משקל</t>
  </si>
  <si>
    <t>שטיח רצפה</t>
  </si>
  <si>
    <t>פופים מסוגים שונים (סכום גלובלי)</t>
  </si>
  <si>
    <t>ריפוד קירות ורצפה במזרונים (מחיר למ"ר)</t>
  </si>
  <si>
    <t>עמוד בועות + מראות + בסיס + מתגים</t>
  </si>
  <si>
    <t>סיבים אופטיים + מקרן + מסרק לסיבים</t>
  </si>
  <si>
    <t>פאנל קיר אינטראקטיבי</t>
  </si>
  <si>
    <t>בריכת כדורים אינטראקטיבית</t>
  </si>
  <si>
    <t>ערכת סנוזלן ניידת</t>
  </si>
  <si>
    <t>דירוג כלכלי חברתי (סוציואקונומי):</t>
  </si>
  <si>
    <t>תפקיד:</t>
  </si>
  <si>
    <t>אין למלא, נוסחא</t>
  </si>
  <si>
    <t>שם הארגון המבקש:</t>
  </si>
  <si>
    <t>כתובת הארגון המבקש:</t>
  </si>
  <si>
    <t>תשושים</t>
  </si>
  <si>
    <t>שם איש קשר:</t>
  </si>
  <si>
    <t>מגרסת נייר משרדית + מדפסת משולבת</t>
  </si>
  <si>
    <t>מיטה + מזרון</t>
  </si>
  <si>
    <t>ארון איחסון</t>
  </si>
  <si>
    <t>פריטי עיצוב</t>
  </si>
  <si>
    <t>עגלת נירוסטה 3 קומות</t>
  </si>
  <si>
    <t>מכונת כביסה ומייבש</t>
  </si>
  <si>
    <t>ארון איחסון מפלסטיק</t>
  </si>
  <si>
    <t>מתקן בישום אוויר</t>
  </si>
  <si>
    <t>שולחן פעילות 6 מקומות</t>
  </si>
  <si>
    <t>ציוד לחדר צוות רב תחומי - אחות ( מד חום, מד לחץ, דופק, סטורציה, ארון עזרה ראשונה, אפיפן ועוד) סכום גלובלי</t>
  </si>
  <si>
    <t>קומביסטימר</t>
  </si>
  <si>
    <t>הגדרת גודל מרכזי יום</t>
  </si>
  <si>
    <t>סט כלי אוכל לסועד</t>
  </si>
  <si>
    <t>הסבר לנוסחא</t>
  </si>
  <si>
    <t>אחיד לכל גודל</t>
  </si>
  <si>
    <t>המלצות הצטיידות ינתנו בשיתוף יועץ לקרנות הביטוח הלאומי.</t>
  </si>
  <si>
    <r>
      <t>יש לסמן את הבקשה בסעיף</t>
    </r>
    <r>
      <rPr>
        <b/>
        <sz val="12"/>
        <rFont val="Arial"/>
        <family val="2"/>
      </rPr>
      <t xml:space="preserve"> "בקשת הגוף"</t>
    </r>
    <r>
      <rPr>
        <sz val="12"/>
        <rFont val="Arial"/>
        <family val="2"/>
      </rPr>
      <t xml:space="preserve"> בעמודת</t>
    </r>
    <r>
      <rPr>
        <b/>
        <sz val="12"/>
        <rFont val="Arial"/>
        <family val="2"/>
      </rPr>
      <t xml:space="preserve"> "כמות מבוקשת"</t>
    </r>
    <r>
      <rPr>
        <sz val="12"/>
        <rFont val="Arial"/>
        <family val="2"/>
      </rPr>
      <t>. כאשר הכמות המבוקשת חורגת מהכמות שהוגדרה בתקן יש לפרט ב</t>
    </r>
    <r>
      <rPr>
        <b/>
        <sz val="12"/>
        <rFont val="Arial"/>
        <family val="2"/>
      </rPr>
      <t>"הערות הגוף"</t>
    </r>
    <r>
      <rPr>
        <sz val="12"/>
        <rFont val="Arial"/>
        <family val="2"/>
      </rPr>
      <t xml:space="preserve"> את הנימוקים לחריגה.</t>
    </r>
  </si>
  <si>
    <t>תקן ציוד כללי</t>
  </si>
  <si>
    <t>תקן הצטיידות  - ציוד ייעודי - תוספות מיוחדות</t>
  </si>
  <si>
    <t xml:space="preserve">גיליון זה נועד לפריטים שאינם מופיעים בתקן. </t>
  </si>
  <si>
    <t>הסבר לבקשה</t>
  </si>
  <si>
    <t>בקשת מחיר חריג</t>
  </si>
  <si>
    <t>סה"כ מקבלי שירות על פי אישור הפעלה.</t>
  </si>
  <si>
    <t>סה"כ מקבלי שירות:</t>
  </si>
  <si>
    <t xml:space="preserve">41 - 80 </t>
  </si>
  <si>
    <t xml:space="preserve">81 - 120 </t>
  </si>
  <si>
    <t>מקבלי שירות</t>
  </si>
  <si>
    <t>ח"פ/ע"ר של הארגון המבקש:</t>
  </si>
  <si>
    <t>פרטי איש קשר</t>
  </si>
  <si>
    <t>פרטי  המבקש  ומרכז היום:</t>
  </si>
  <si>
    <t>פרטים נוספים</t>
  </si>
  <si>
    <t>סכום מקסימלי בש"ח להשתתפות ביטוח לאומי על פי הקול קורא:</t>
  </si>
  <si>
    <r>
      <t xml:space="preserve">המלצות הצטיידות ינתנו בשיתוף יועץ הביטוח הלאומי, </t>
    </r>
    <r>
      <rPr>
        <b/>
        <sz val="12"/>
        <rFont val="Arial"/>
        <family val="2"/>
      </rPr>
      <t>מומחה לתחום הנגשת ראיה</t>
    </r>
    <r>
      <rPr>
        <sz val="12"/>
        <rFont val="Arial"/>
        <family val="2"/>
      </rPr>
      <t>.</t>
    </r>
  </si>
  <si>
    <r>
      <t xml:space="preserve">ספסל שוודי - </t>
    </r>
    <r>
      <rPr>
        <b/>
        <sz val="12"/>
        <rFont val="Arial"/>
        <family val="2"/>
      </rPr>
      <t>לתרגול בישיבה בלבד</t>
    </r>
  </si>
  <si>
    <t>מכשיר אלפטיקל</t>
  </si>
  <si>
    <t>מחשב נייד לחדר טיפולים</t>
  </si>
  <si>
    <t>מחשב נייח לחדר טיפולים</t>
  </si>
  <si>
    <t>מסך טלויזיה והתקנה עבור קונסולות משחק</t>
  </si>
  <si>
    <t>טכנולוגיות שיקומיות ניידות ונייחות, לדוגמה קרוס טריינר, מערכות מציאות מדומה, תוכנות תרגול מיומנויות קוגנטיביות, מדפסת תלת מימד, מרחבי למידה אינטראקטיבים, מערכות שיקום הליכה ומניעת נפילות ועוד</t>
  </si>
  <si>
    <t>מתקני החתלה, רחצה ושירותים עם מנגונים ותמיכות</t>
  </si>
  <si>
    <t>ציוד הערכה בסיסי כמו: מד דופק, גוניומטר, סרט מדידה מקצועי (סכום גלובלי)</t>
  </si>
  <si>
    <t>אמצעים לגירוי וסטיבולרי ותנועתי: כדור פיזיו, גליל ספוג, כדורי תחושה ועיסוי</t>
  </si>
  <si>
    <t>אמצעים לגירוי תחושת מגע כגון: משטחי תחושה, קיר טקסטורות, שטיח פעילות תחושתי עם אזורי מגע שונים, קופסאות תחושתיות</t>
  </si>
  <si>
    <t>מתקן פעילות ייעודי לסנוזלן</t>
  </si>
  <si>
    <t xml:space="preserve">התקנת ציוד ומערכת חשמל מותאמת </t>
  </si>
  <si>
    <t>לוח מחיק נייד</t>
  </si>
  <si>
    <t>משחקי חשיבה מקובעים לקיר למשחק בעמידה (סכום גלובלי)</t>
  </si>
  <si>
    <t xml:space="preserve">גינון טיפולי וחממה </t>
  </si>
  <si>
    <t>תקן ציוד לגינון טיפולי וחממה (המחירים בש"ח וכוללים מע"מ)</t>
  </si>
  <si>
    <t>בקשת מחיר חריג (כשהצעת מחיר המבוקשת אינה הזולה ביותר)</t>
  </si>
  <si>
    <t>הסבר הגוף לבקשה</t>
  </si>
  <si>
    <t>אדניות ניידות עם גלגלים ונעילה</t>
  </si>
  <si>
    <t>אדניות מוגבהות כשגובה עבודה מותאם ישיבה/עמידה</t>
  </si>
  <si>
    <t>כלי גינון מותאמים כמו: ידיות עבות/מרופדות, מנגנון קפיץ קל, כפפות עבודה במידות שונות, משפכים קלי משקל עם ידית רחבה, מרססי מים ידניים ועוד</t>
  </si>
  <si>
    <t>טבלת תקן הצטיידות מרכז יום ( בש"ח כולל מע"מ)</t>
  </si>
  <si>
    <t>סהכ עלות</t>
  </si>
  <si>
    <t>מ 41 עד 80</t>
  </si>
  <si>
    <t>מ 81 עד 120</t>
  </si>
  <si>
    <t>מ 0 עד 40</t>
  </si>
  <si>
    <t>מערכות אימון מוטורי (סכום גלובלי)</t>
  </si>
  <si>
    <t xml:space="preserve"> אביזרים</t>
  </si>
  <si>
    <t>סה"כ עלות הבקשה שאושרה</t>
  </si>
  <si>
    <t>סה"כ מקבלי שירות עפ"י אישור הפעלה</t>
  </si>
  <si>
    <t>כמות מקבלי שירות בתוספת 15% לצוות</t>
  </si>
  <si>
    <t>כמות מקבלי שירות לחלק ל 4 בתוספת 15% לצוות</t>
  </si>
  <si>
    <t>כמות מקבלי שירות</t>
  </si>
  <si>
    <t>כמות מקבלי שירות לחלק ל 6 בתוספת 15% לצוות</t>
  </si>
  <si>
    <t>מתקן/ בר מים</t>
  </si>
  <si>
    <t>ארון תצוגה</t>
  </si>
  <si>
    <t>כיסא פעילות/משרד</t>
  </si>
  <si>
    <t>שולחן סלון</t>
  </si>
  <si>
    <t>שולחן משרדי</t>
  </si>
  <si>
    <t>שולחן נירוסטה לעבודה במטבח</t>
  </si>
  <si>
    <t>שולחן כניסה ויציאה למדיח</t>
  </si>
  <si>
    <t>מדיח כלים תעשייתי</t>
  </si>
  <si>
    <t>מחשב קומפלט</t>
  </si>
  <si>
    <t>כורסת מנוחה</t>
  </si>
  <si>
    <t>פינת ישיבה לחצר</t>
  </si>
  <si>
    <t>שמשיית גן מסיבית כולל בסיס</t>
  </si>
  <si>
    <t>שילוט חיצוני</t>
  </si>
  <si>
    <t>שילוט לחדרים</t>
  </si>
  <si>
    <t>ארגז כלים</t>
  </si>
  <si>
    <t>מיחם מוסדי אוטומטי</t>
  </si>
  <si>
    <t xml:space="preserve">מקרר או מקפיא תעשייתי </t>
  </si>
  <si>
    <t>מנדף</t>
  </si>
  <si>
    <t>מרכך מים מוסדי אוטומטי</t>
  </si>
  <si>
    <t>מכונה לקילוף או קיצוץ ירקות</t>
  </si>
  <si>
    <t>סה"כ מקבלי שירות עפ"י אישור הפעלה (מתוך השאלון)</t>
  </si>
  <si>
    <t>טיפוח חן</t>
  </si>
  <si>
    <t>הערות</t>
  </si>
  <si>
    <r>
      <rPr>
        <sz val="11"/>
        <color rgb="FF000000"/>
        <rFont val="Arial"/>
        <family val="2"/>
        <scheme val="minor"/>
      </rPr>
      <t>ערכה לשיפור בטיחות</t>
    </r>
    <r>
      <rPr>
        <sz val="11"/>
        <color indexed="8"/>
        <rFont val="Arial"/>
        <family val="2"/>
        <scheme val="minor"/>
      </rPr>
      <t xml:space="preserve">  (מעקות, מאחזי בטיחות, לחצן מצוקה עם צופר, פסים למניעת החלקה ועוד).</t>
    </r>
  </si>
  <si>
    <t>אישור הבקשה ע"י מנהלת תכניות/יועץ הקרן</t>
  </si>
  <si>
    <t xml:space="preserve">הערות </t>
  </si>
  <si>
    <t>לפי מקבל שירות</t>
  </si>
  <si>
    <t>חצר</t>
  </si>
  <si>
    <t>מתקני משחקים לילדים בחצר</t>
  </si>
  <si>
    <t>סה"כ אישור מנהלת התכניות</t>
  </si>
  <si>
    <t>ביטוח לאומי</t>
  </si>
  <si>
    <t>מקורות מימון להצטיידות</t>
  </si>
  <si>
    <t>דירוג חברתי/כלכלי של הישוב:</t>
  </si>
  <si>
    <t>שירותים</t>
  </si>
  <si>
    <t>שאלון פרטים - חובה למלא!</t>
  </si>
  <si>
    <t>חוג אחר - יש למלא</t>
  </si>
  <si>
    <t>הוכן בסיוע צבי רובינשטיין, יועץ לקרנות הביטוח הלאומי</t>
  </si>
  <si>
    <t xml:space="preserve">עד - 40 </t>
  </si>
  <si>
    <t xml:space="preserve">על המחירים לכלול מע"מ,הובלה והתקנה, במידת הצורך. </t>
  </si>
  <si>
    <t>על המחירים לכלול מע"מ,הובלה והתקנה, במידת הצורך. על הגוף המבקש להוכיח שקיימים לו משאבים וכ"א נדרש להפעלת הציוד והפעילות המבוקשת.</t>
  </si>
  <si>
    <t>על המחירים לכלול מע"מ, הובלה והתקנה, במידת הצורך. על הגוף המבקש להוכיח שקיימים לו משאבים וכ"א נדרש להפעלת הפעילות המבוקשת.</t>
  </si>
  <si>
    <r>
      <t xml:space="preserve">האישור לציוד ריפוי בעיסוק ופיזיותרפיה </t>
    </r>
    <r>
      <rPr>
        <b/>
        <sz val="12"/>
        <rFont val="Arial"/>
        <family val="2"/>
      </rPr>
      <t>מותנה</t>
    </r>
    <r>
      <rPr>
        <sz val="12"/>
        <rFont val="Arial"/>
        <family val="2"/>
      </rPr>
      <t xml:space="preserve"> בהעסקת מרפא/ה בעיסוק ו/או פיזיותרפיסט/ית.</t>
    </r>
  </si>
  <si>
    <r>
      <t xml:space="preserve">יש לסמן את הבקשה בסעיף </t>
    </r>
    <r>
      <rPr>
        <b/>
        <sz val="12"/>
        <rFont val="Arial"/>
        <family val="2"/>
      </rPr>
      <t xml:space="preserve">"בקשת הגוף" </t>
    </r>
    <r>
      <rPr>
        <sz val="12"/>
        <rFont val="Arial"/>
        <family val="2"/>
      </rPr>
      <t>בעמודת "</t>
    </r>
    <r>
      <rPr>
        <b/>
        <sz val="12"/>
        <rFont val="Arial"/>
        <family val="2"/>
      </rPr>
      <t>כמות מבוקשת"</t>
    </r>
    <r>
      <rPr>
        <sz val="12"/>
        <rFont val="Arial"/>
        <family val="2"/>
      </rPr>
      <t>. כאשר הכמות המבוקשת חורגת מהכמות שהוגדרה בתקן יש לפרט ב</t>
    </r>
    <r>
      <rPr>
        <b/>
        <sz val="12"/>
        <rFont val="Arial"/>
        <family val="2"/>
      </rPr>
      <t>"הערות הגוף"</t>
    </r>
    <r>
      <rPr>
        <sz val="12"/>
        <rFont val="Arial"/>
        <family val="2"/>
      </rPr>
      <t xml:space="preserve"> את הנימוקים לחריגה.</t>
    </r>
  </si>
  <si>
    <t>חממה/גינה טיפולית תאושר כאשר יש שטח ייעודי. עלות והרכב החממה או הגינה הטיפולית בהתאם לגודל השטח הייעודי ומסגרת התקציב.</t>
  </si>
  <si>
    <r>
      <t xml:space="preserve">יש לרשום בטבלה את הצעות המחיר ובנוסף, להגיש ליועץ </t>
    </r>
    <r>
      <rPr>
        <b/>
        <sz val="12"/>
        <color rgb="FFC00000"/>
        <rFont val="Arial"/>
        <family val="2"/>
      </rPr>
      <t>שתי הצעות מחיר עבור ציוד שעלותו עד 20,000 ₪, ושלוש הצעות מחיר עבור ציוד שעלותו גבוהה מ-20,000 ₪</t>
    </r>
    <r>
      <rPr>
        <sz val="12"/>
        <rFont val="Arial"/>
        <family val="2"/>
      </rPr>
      <t>.</t>
    </r>
  </si>
  <si>
    <r>
      <rPr>
        <b/>
        <sz val="12"/>
        <rFont val="Arial"/>
        <family val="2"/>
      </rPr>
      <t>תקציב החוג הוא  לציוד בלבד ואינו כולל כוח אדם, הפעלה וחומרים מתכלים.</t>
    </r>
    <r>
      <rPr>
        <sz val="12"/>
        <rFont val="Arial"/>
        <family val="2"/>
      </rPr>
      <t xml:space="preserve"> </t>
    </r>
  </si>
  <si>
    <r>
      <t xml:space="preserve">לפניך טבלה המכילה דוגמאות לאפשרויות של חוגים, ניתן להוסיף חוגים אחרים ולפרט את שם החוג. </t>
    </r>
    <r>
      <rPr>
        <b/>
        <sz val="12"/>
        <rFont val="Arial"/>
        <family val="2"/>
      </rPr>
      <t>תקציב התקן הינו סכום גלובלי</t>
    </r>
    <r>
      <rPr>
        <sz val="12"/>
        <rFont val="Arial"/>
        <family val="2"/>
      </rPr>
      <t>.</t>
    </r>
  </si>
  <si>
    <t>חוג אפייה/בישול</t>
  </si>
  <si>
    <t xml:space="preserve">חוג ספורט </t>
  </si>
  <si>
    <t xml:space="preserve">חוג אמנות/יצירה </t>
  </si>
  <si>
    <t xml:space="preserve">חוג אוריינות דיגיטלית </t>
  </si>
  <si>
    <t xml:space="preserve">מוזיקה </t>
  </si>
  <si>
    <t xml:space="preserve">חוג קרמיקה </t>
  </si>
  <si>
    <r>
      <t xml:space="preserve">גיליון זה נועד להציג רעיונות אפשריים ליצירת מוקד משיכה ושיתוף פעולה בין מרכז היום לקהילה </t>
    </r>
    <r>
      <rPr>
        <b/>
        <sz val="12"/>
        <rFont val="Arial"/>
        <family val="2"/>
      </rPr>
      <t>ולסייע בחיבור בין-דורי ( לדוגמא - מתקני משחק לילדים)</t>
    </r>
    <r>
      <rPr>
        <sz val="12"/>
        <rFont val="Arial"/>
        <family val="2"/>
      </rPr>
      <t>.</t>
    </r>
  </si>
  <si>
    <r>
      <t xml:space="preserve">יש למלא את הטבלה ובנוסף להגיש ליועץ עותק של </t>
    </r>
    <r>
      <rPr>
        <b/>
        <u/>
        <sz val="12"/>
        <color rgb="FFFF0000"/>
        <rFont val="Arial"/>
        <family val="2"/>
      </rPr>
      <t>2 הצעות מחיר</t>
    </r>
    <r>
      <rPr>
        <b/>
        <sz val="12"/>
        <color rgb="FFFF0000"/>
        <rFont val="Arial"/>
        <family val="2"/>
      </rPr>
      <t xml:space="preserve"> עבור פריט שעלותו עד 20,000 ₪ ו- </t>
    </r>
    <r>
      <rPr>
        <b/>
        <u/>
        <sz val="12"/>
        <color rgb="FFFF0000"/>
        <rFont val="Arial"/>
        <family val="2"/>
      </rPr>
      <t>3 הצעות מחיר</t>
    </r>
    <r>
      <rPr>
        <b/>
        <sz val="12"/>
        <color rgb="FFFF0000"/>
        <rFont val="Arial"/>
        <family val="2"/>
      </rPr>
      <t xml:space="preserve"> עבור פריט שעלותו גבוהה מ-20,000 ₪.</t>
    </r>
  </si>
  <si>
    <t>ניתן להגיש ציוד נוסף ( לדוגמה: מסלול צעידה בחוץ, פארק פעילות חיצוני עם מתקנים לשיפור תפקודים פיזיים וקוגניטיביים) ולהוסיפו בגיליון ציוד ייעודי עפ"י ההנחיות.</t>
  </si>
  <si>
    <t>הנגשת ראייה</t>
  </si>
  <si>
    <t>סה"כ מקבלי שירות</t>
  </si>
  <si>
    <t>דירוג אשכול סוציו אקונומי:</t>
  </si>
  <si>
    <t>דו"ח סיכום פרויקט בקשת הצטיידות</t>
  </si>
  <si>
    <t>יש למלא סכום מקסימלי לפי קול קורא:</t>
  </si>
  <si>
    <t>תאריך הגשה:</t>
  </si>
  <si>
    <t>שם הגוף המבקש:</t>
  </si>
  <si>
    <t>מספר משתתפים בפרויקט:</t>
  </si>
  <si>
    <t>מספר חדרי פעילות:</t>
  </si>
  <si>
    <t>קטגוריית ציוד</t>
  </si>
  <si>
    <t>סך בקשת הגוף שאושרה ע"י מנהל/ת התכנית (בש"ח וכולל מע"מ)</t>
  </si>
  <si>
    <r>
      <t xml:space="preserve">קטגוריה  ג' - ציוד מטבח </t>
    </r>
    <r>
      <rPr>
        <b/>
        <sz val="11"/>
        <color theme="1"/>
        <rFont val="Times New Roman"/>
        <family val="1"/>
      </rPr>
      <t>מחמם</t>
    </r>
    <r>
      <rPr>
        <sz val="11"/>
        <color theme="1"/>
        <rFont val="Times New Roman"/>
        <family val="1"/>
      </rPr>
      <t xml:space="preserve"> וחדר אוכל</t>
    </r>
  </si>
  <si>
    <r>
      <t xml:space="preserve">קטגוריה  ג' - ציוד מטבח </t>
    </r>
    <r>
      <rPr>
        <b/>
        <sz val="11"/>
        <color theme="1"/>
        <rFont val="Times New Roman"/>
        <family val="1"/>
      </rPr>
      <t>מבשל</t>
    </r>
    <r>
      <rPr>
        <sz val="11"/>
        <color theme="1"/>
        <rFont val="Times New Roman"/>
        <family val="1"/>
      </rPr>
      <t xml:space="preserve"> וחדר אוכל</t>
    </r>
  </si>
  <si>
    <t>סה"כ לפרוייקט</t>
  </si>
  <si>
    <t>אחוז מימון מקסימלי לפי דירוג אשכול לאישור הוועדה (לפי אחוז השתתפות בט"ל וללא התחשבות בתקציב הסיוע המקסימלי בקול קורא)</t>
  </si>
  <si>
    <t>גורם מממן</t>
  </si>
  <si>
    <t>אחוז מימון מקסימלי-ביטוח לאומי</t>
  </si>
  <si>
    <t>מימון עצמי</t>
  </si>
  <si>
    <t>מימון מקסימלי לפי דירוג אשכול לאישור הוועדה (אחוז השתתפות בט"ל בהתחשב בתקציב הסיוע המקסימלי בקול קורא)</t>
  </si>
  <si>
    <t>סכום מימון מקסימלי-ביטוח לאומי</t>
  </si>
  <si>
    <t>מימון מאושר - הנמוך מבין השניים - אחוז השתתפות  או תקציב סיוע מקסימלי</t>
  </si>
  <si>
    <t>מימון ביטוח לאומי מקסימלי</t>
  </si>
  <si>
    <t xml:space="preserve">קטגוריה א'- ציוד וריהוט לחדרי קבוצות  </t>
  </si>
  <si>
    <t xml:space="preserve">קטגוריה ב'- ציוד כללי לסדנאות, חללים משותפים וציוד נוסף </t>
  </si>
  <si>
    <t/>
  </si>
  <si>
    <t>שם המסגרת:</t>
  </si>
  <si>
    <t>טבלה זו תהיה מוסתרת ולא לשימוש הארגון המבקש</t>
  </si>
  <si>
    <t xml:space="preserve">א. מערכת הגברה סביבתית אלחוטית מסוג Sound Field FM System </t>
  </si>
  <si>
    <t xml:space="preserve">חדר אוכל רב תכליתי /אולם 50-100 מקומות ישיבה.
לכיסוי מלא של כל שטח החלל
</t>
  </si>
  <si>
    <t xml:space="preserve">ב. מערכת עזר לשמיעה מסוג אור תת-אדום   (Infra Red System) </t>
  </si>
  <si>
    <t>ג. מקלט IR דגם אוזניות סטטוסקופים</t>
  </si>
  <si>
    <t>ד. מקלט IR בלבד (ללא אוזניות) +לולאת השראה צווארית</t>
  </si>
  <si>
    <t>ה. יחידות טעינה למקלטים (ל-10-12 מקלטים)</t>
  </si>
  <si>
    <t xml:space="preserve">מערכת הגברה ניידת (FM) </t>
  </si>
  <si>
    <t>לשימוש ע"פ צרכי המרכז בתוך או מחוץ למבנה (טיולים)</t>
  </si>
  <si>
    <t>יחידה אחת קומפקטית וקלה לנשיאה במשקל מקסימאלי של עד 3.5 ק"ג, שני מיקרופונים אלחוטיים (מדונה+ידני), כניסה לאודיו, סוללה נטענת לעבודה רציפה של לפחות חמש שעות.</t>
  </si>
  <si>
    <t>חדר מנהלת/עו"ס/אחות</t>
  </si>
  <si>
    <t>אוזניות (קיימת עדיפות לדגם סטטוסקופי), סוללות נטענות, מטען נייח לטעינה ללא הסרת סוללות.</t>
  </si>
  <si>
    <t>לחצן מצוקה אלחוטי עם חוט משיכה וללא תשתית תקשורת</t>
  </si>
  <si>
    <t>חדר שירותים</t>
  </si>
  <si>
    <t>לחצן מצוקה עם חוט משיכה, פעמון חשמלי או מופעל ע"י סוללות</t>
  </si>
  <si>
    <t xml:space="preserve">מסך 42" לניהול תוכן אינטראקטיבי </t>
  </si>
  <si>
    <t>להתקנה בנקודה מרכזית במרכז</t>
  </si>
  <si>
    <t>מסך אלקטרוני 42 (LCD) ללוח מודעות אינטרקטיבי כולל מתקן ושליטה מרחוק, מתקן צמוד קיר</t>
  </si>
  <si>
    <t>חיבור לכל מערכות ההגברה והעזר לשמיעה המותקנות בחלל</t>
  </si>
  <si>
    <t>הוכן בסיוע ד"ר אורנה ערן, אודיולוגית, מומחית לשיקום וטכנולוגיות עזר, מורשת נגישות השירות</t>
  </si>
  <si>
    <t>המלצות להצטיידות ינתנו בשיתוף יועץ הביטוח הלאומי, מומחה לתחום הנגשת שמע.</t>
  </si>
  <si>
    <t>לכל אחד מהפריטים יוגשו ליועץ לאישור לפחות שתי הצעות מחיר ומפרטי יצרן של הציוד והמערכות המוצעות.</t>
  </si>
  <si>
    <t>על הצעת המחיר לכלול משך תקופת אחריות, הובלה, התקנה והדרכת הצוות בתפעול הציוד ומערכות העזר לשמיעה כמפורט:</t>
  </si>
  <si>
    <t>מבואה</t>
  </si>
  <si>
    <r>
      <t xml:space="preserve">אביזרים (פריטי עיצוב, תמונות, לוחות מודעות, פחים ועוד) </t>
    </r>
    <r>
      <rPr>
        <b/>
        <sz val="11"/>
        <color indexed="8"/>
        <rFont val="Arial"/>
        <family val="2"/>
        <scheme val="minor"/>
      </rPr>
      <t>תקציב גלובל</t>
    </r>
    <r>
      <rPr>
        <sz val="11"/>
        <color indexed="8"/>
        <rFont val="Arial"/>
        <family val="2"/>
        <scheme val="minor"/>
      </rPr>
      <t>י</t>
    </r>
  </si>
  <si>
    <t>חדר טיפוח חן/מספרה</t>
  </si>
  <si>
    <r>
      <t xml:space="preserve">טלוויזיות (כולל הובלה והתקנה) </t>
    </r>
    <r>
      <rPr>
        <b/>
        <sz val="11"/>
        <color indexed="8"/>
        <rFont val="Arial"/>
        <family val="2"/>
        <scheme val="minor"/>
      </rPr>
      <t>סכום גלובלי</t>
    </r>
  </si>
  <si>
    <t>כלי הגשה ועבודה שונים</t>
  </si>
  <si>
    <r>
      <rPr>
        <b/>
        <sz val="11"/>
        <color indexed="8"/>
        <rFont val="Arial"/>
        <family val="2"/>
        <scheme val="minor"/>
      </rPr>
      <t>סכום גלובלי</t>
    </r>
    <r>
      <rPr>
        <sz val="11"/>
        <color indexed="8"/>
        <rFont val="Arial"/>
        <family val="2"/>
        <scheme val="minor"/>
      </rPr>
      <t xml:space="preserve"> (ארון תחתון+כיור+ברז, דלפק עבודה, כיסא טיפולים, כיסא מספרה, כיסא פעילות/משרד, כיסא+כיור חפיפה, מייבש שיער מקצועי, מכונת ייבוש, מכונת תספורת, מנורה מתכווננת, מראה, מתלה נייד למגבות, סטרליזטור, עגלת טיפולים).</t>
    </r>
  </si>
  <si>
    <r>
      <rPr>
        <b/>
        <sz val="11"/>
        <color indexed="8"/>
        <rFont val="Arial"/>
        <family val="2"/>
        <scheme val="minor"/>
      </rPr>
      <t>סכום גלובלי</t>
    </r>
    <r>
      <rPr>
        <sz val="11"/>
        <color indexed="8"/>
        <rFont val="Arial"/>
        <family val="2"/>
        <scheme val="minor"/>
      </rPr>
      <t xml:space="preserve"> (ארון איחסון, מראת קיר, כיסא שירותים ורחיצה תקני, ספסל הלבשה, דיספנסרים, מתקני מגבות, ידיות אחיזה ועוד).</t>
    </r>
  </si>
  <si>
    <t>פינת קפה וציוד נילווה</t>
  </si>
  <si>
    <t>כיסא משרדי מתכוונן</t>
  </si>
  <si>
    <r>
      <t xml:space="preserve">ציוד אישי למשתתף ( סלסלות, כלים ועוד) </t>
    </r>
    <r>
      <rPr>
        <b/>
        <sz val="11"/>
        <color indexed="8"/>
        <rFont val="Arial"/>
        <family val="2"/>
        <scheme val="minor"/>
      </rPr>
      <t>סכום גלובלי</t>
    </r>
  </si>
  <si>
    <r>
      <t xml:space="preserve">סט לשולחן אוכל (מפות,מרקיה, סלסלת לחם, סט מלח ועוד) </t>
    </r>
    <r>
      <rPr>
        <b/>
        <sz val="11"/>
        <color indexed="8"/>
        <rFont val="Arial"/>
        <family val="2"/>
        <scheme val="minor"/>
      </rPr>
      <t>תקציב גלובלי</t>
    </r>
  </si>
  <si>
    <t xml:space="preserve">         ג.מועדים להדרכת הצוות : א) הדרכה לאחר התקנת הציוד/מערכות   ב) הדרכה בסיום השנה השנייה/תחילת השנה השלישית. ג) הדרכה בסיום השנה הרביעית/תחילת שנה חמישית.</t>
  </si>
  <si>
    <t xml:space="preserve">         ב.הספק יתחייב לבדיקה תקופתית לתקינות המערכות בכל משך האחריות (אחת לשנה מתום השנה הראשונה).</t>
  </si>
  <si>
    <t>אופן חישוב שיעור ההשתתפות של ביטוח לאומי - מוסתר</t>
  </si>
  <si>
    <t>אביזרים מסייעים לשימוש  בפעילות יומיומית במרכז עבור אנשים עם מוגבלות בראיה (סכום גלובלי)</t>
  </si>
  <si>
    <t xml:space="preserve">לדוגמה: מגדלות בעוצמות שונות, תאורה ממוקדת ועוד </t>
  </si>
  <si>
    <t>משחקי חברה נגישים (סכום גלובלי)</t>
  </si>
  <si>
    <t>וילונות הצללה כולל התקנה (עלות למ"ר) לא כולל וילונות לחדר האוכל</t>
  </si>
  <si>
    <t xml:space="preserve">טלוויזיה חכמה 85" </t>
  </si>
  <si>
    <t>חדר אוכל רב תכליתי /אולם</t>
  </si>
  <si>
    <t>וילונות בד קפלים עבה (הסטה) או וילון דואט 
להצללה ושיפור האקלים האקוסטי</t>
  </si>
  <si>
    <t xml:space="preserve">משדר-מודולטור, מקרני IR לכיסוי מלא של כל החלל, מקלטים אישיים, יחידות טעינה למקלטים. כולל מתקני תליה וכבלים. המערכת תכיל משדר-מודולטור, מקרני אינפרא אדום לכיסוי מלא של החלל, מקלטים אישיים, יחידת טעינה למקלטים (של אותה חברה).
</t>
  </si>
  <si>
    <t>הגדרת גודל מרכז יום נועד רק לצורך בניית תקן ההצטיידות</t>
  </si>
  <si>
    <t>ריהוט אחסון (ארון, מדף אחסון לציוד גדול תלוי, ארון מגירות ועוד)</t>
  </si>
  <si>
    <t>מראות (ניידת וקבועה)</t>
  </si>
  <si>
    <t>סולם שוודי עם תוספות והתקנה (סכום גלובלי)</t>
  </si>
  <si>
    <t>מגוון סוגי כדורים ומשאבה חשמלית לכדורים (סכום גלובלי)</t>
  </si>
  <si>
    <t>אביזירים לתרגול שיווי משקל: כריות, לוח שיווי משקל, מסלול, כריות, קורות ועוד (סכום גלובלי)</t>
  </si>
  <si>
    <t xml:space="preserve">ממיר לשידור מהטאבלט למסך </t>
  </si>
  <si>
    <t>עכברים ומקלדות ייחודיים (סכום גלובלי)</t>
  </si>
  <si>
    <t>עזרים לתרגול הליכה: טריפודים, מקל, הליכון רולטור, הליכון אמות הידראולי (סכום גלובלי)</t>
  </si>
  <si>
    <r>
      <t>חוג עיצוב וייצור מוצרים במדפסת תלת מימד</t>
    </r>
    <r>
      <rPr>
        <sz val="11"/>
        <color rgb="FF000000"/>
        <rFont val="Arial"/>
        <family val="2"/>
      </rPr>
      <t xml:space="preserve"> (נדרש מדריך בעל ידע מוכח בעיצוב גרפי ו/או בעיצוב המוצר ובהפעלת הציוד לא ימומנו סלילי הדפסה)</t>
    </r>
  </si>
  <si>
    <t>ציוד לתרגול הליכה בסביבת חוץ (מקלות נורדיים, מד צעדים ועוד)</t>
  </si>
  <si>
    <t>הערה: כמות מקבלי השירות נגזרת מהשאלון</t>
  </si>
  <si>
    <t>תקן הצטיידות למרכזי יום - ספטמבר 2026</t>
  </si>
  <si>
    <t>לפי גודל מרכז</t>
  </si>
  <si>
    <t>יש למלא את הכמות המבוקשת כמספר החלונות</t>
  </si>
  <si>
    <t>הארגון המבקש</t>
  </si>
  <si>
    <t>מיקרופון/משדר אלחוטי נייד (ראש מדונה), מיקרופון ידני אלחוטי נוסף, מגבר, מודולטור, מיקסר 4 כניסות,4-6 רמקולים ( -קיר כולל מתקני תליה וכבלים), קופסת חיבורים קידמית switch box עם חיבור למחשב וטלוויזיה. ארון אחסון, חשמל וטעינה עם דלת זכוכית ומנעול.</t>
  </si>
  <si>
    <t>המלצות הצטיידות ינתנו בשיתוף יועץ הביטוח הלאומי, מומחה לתחום מקצועות הבריאות.</t>
  </si>
  <si>
    <t>מקלדת עם אותיות גדולות וניגודיות גבוהה לסיוע עבור אנשים עם מוגבלות בראיה ומוגבלות קוגניטיבית</t>
  </si>
  <si>
    <t>".הגשת בקשה להצטיידות לפי תקן והסיוע הכספי יינתן בהתאם למדיניות הקרן ולהנחיות הקול הקורא"</t>
  </si>
  <si>
    <t>• במידה ופריט או ציוד מסוים אינם מופיעים בתקן ניתן להוסיפם בגיליון ציוד ייעודי.</t>
  </si>
  <si>
    <t>סיכום בקשה להצטיידות - קרן סיעוד בש"ח כולל מע"מ</t>
  </si>
  <si>
    <t>ק</t>
  </si>
  <si>
    <t>חובה למלא את כל השדות בשאלון!</t>
  </si>
  <si>
    <r>
      <t xml:space="preserve">מערכות טכנולוגיות ושיקומיות יש לרכוש עם </t>
    </r>
    <r>
      <rPr>
        <b/>
        <sz val="12"/>
        <rFont val="Arial"/>
        <family val="2"/>
      </rPr>
      <t>תקופת אחריות מקסימלית</t>
    </r>
    <r>
      <rPr>
        <sz val="12"/>
        <rFont val="Arial"/>
        <family val="2"/>
      </rPr>
      <t xml:space="preserve"> הניתנת על ידי הספק.</t>
    </r>
  </si>
  <si>
    <t xml:space="preserve">         א. משך תקופת האחריות הניתנת לכל הציוד ומערכות העזר לשמיעה לא תפחת מ- 5 שנים.</t>
  </si>
  <si>
    <t>סה"כ ציוד כללי</t>
  </si>
  <si>
    <t>הוכן בסיוע דר' נורית נוי והייתם דוויק, מורשי נגישות השירות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</si>
</sst>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_ * #,##0_ ;_ * \-#,##0_ ;_ * &quot;-&quot;??_ ;_ @_ "/>
    <numFmt numFmtId="165" formatCode="#,##0_ ;[Red]\-#,##0\ "/>
    <numFmt numFmtId="166" formatCode="_ * #,##0.0_ ;_ * \-#,##0.0_ ;_ * &quot;-&quot;??_ ;_ @_ "/>
    <numFmt numFmtId="167" formatCode="0.0"/>
    <numFmt numFmtId="168" formatCode="_ &quot;₪&quot;\ * #,##0_ ;_ &quot;₪&quot;\ * \-#,##0_ ;_ &quot;₪&quot;\ * &quot;-&quot;??_ ;_ @_ "/>
    <numFmt numFmtId="169" formatCode="&quot;₪&quot;\ #,##0"/>
    <numFmt numFmtId="170" formatCode="0.0%"/>
    <numFmt numFmtId="171" formatCode="[$-1010000]d/m/yyyy;@"/>
    <numFmt numFmtId="172" formatCode="_ [$₪-40D]\ * #,##0_ ;_ [$₪-40D]\ * \-#,##0_ ;_ [$₪-40D]\ * &quot;-&quot;??_ ;_ @_ "/>
  </numFmts>
  <fonts count="66">
    <font>
      <sz val="11"/>
      <color indexed="8"/>
      <name val="Arial"/>
      <family val="2"/>
      <scheme val="minor"/>
    </font>
    <font>
      <sz val="11"/>
      <color theme="1"/>
      <name val="Arial"/>
      <family val="2"/>
      <charset val="177"/>
      <scheme val="minor"/>
    </font>
    <font>
      <sz val="12"/>
      <color theme="1"/>
      <name val="Arial"/>
      <family val="2"/>
      <charset val="177"/>
    </font>
    <font>
      <sz val="11"/>
      <color indexed="8"/>
      <name val="Arial"/>
      <family val="2"/>
    </font>
    <font>
      <sz val="11"/>
      <color theme="1"/>
      <name val="Arial"/>
      <family val="2"/>
    </font>
    <font>
      <b/>
      <sz val="11"/>
      <name val="Arial"/>
      <family val="2"/>
      <scheme val="minor"/>
    </font>
    <font>
      <sz val="11"/>
      <name val="Arial"/>
      <family val="2"/>
      <scheme val="minor"/>
    </font>
    <font>
      <sz val="12"/>
      <color rgb="FF000000"/>
      <name val="Arial"/>
      <family val="2"/>
    </font>
    <font>
      <sz val="12"/>
      <color indexed="8"/>
      <name val="Arial"/>
      <family val="2"/>
    </font>
    <font>
      <b/>
      <sz val="14"/>
      <color theme="1"/>
      <name val="Arial"/>
      <family val="2"/>
    </font>
    <font>
      <b/>
      <sz val="12"/>
      <color theme="1"/>
      <name val="Arial"/>
      <family val="2"/>
    </font>
    <font>
      <sz val="14"/>
      <color theme="1"/>
      <name val="Arial"/>
      <family val="2"/>
    </font>
    <font>
      <sz val="11"/>
      <name val="Times New Roman"/>
      <family val="1"/>
    </font>
    <font>
      <b/>
      <sz val="12"/>
      <color rgb="FF000000"/>
      <name val="Arial"/>
      <family val="2"/>
    </font>
    <font>
      <sz val="12"/>
      <name val="Arial"/>
      <family val="2"/>
    </font>
    <font>
      <b/>
      <sz val="12"/>
      <name val="Arial"/>
      <family val="2"/>
    </font>
    <font>
      <b/>
      <u/>
      <sz val="12"/>
      <color rgb="FF000000"/>
      <name val="Arial"/>
      <family val="2"/>
    </font>
    <font>
      <b/>
      <sz val="11"/>
      <color theme="1"/>
      <name val="Arial"/>
      <family val="2"/>
      <scheme val="minor"/>
    </font>
    <font>
      <b/>
      <sz val="14"/>
      <color theme="1"/>
      <name val="Arial"/>
      <family val="2"/>
      <scheme val="minor"/>
    </font>
    <font>
      <sz val="12"/>
      <color theme="1"/>
      <name val="Arial"/>
      <family val="2"/>
      <scheme val="minor"/>
    </font>
    <font>
      <b/>
      <sz val="11"/>
      <name val="Arial"/>
      <family val="2"/>
    </font>
    <font>
      <sz val="11"/>
      <name val="Arial"/>
      <family val="2"/>
    </font>
    <font>
      <b/>
      <sz val="14"/>
      <color rgb="FF000000"/>
      <name val="Arial"/>
      <family val="2"/>
    </font>
    <font>
      <b/>
      <sz val="14"/>
      <name val="Arial"/>
      <family val="2"/>
    </font>
    <font>
      <b/>
      <sz val="11"/>
      <color rgb="FFFF0000"/>
      <name val="Arial"/>
      <family val="2"/>
    </font>
    <font>
      <sz val="11"/>
      <color rgb="FFFF0000"/>
      <name val="Arial"/>
      <family val="2"/>
    </font>
    <font>
      <sz val="11"/>
      <color rgb="FFFF0000"/>
      <name val="Arial"/>
      <family val="2"/>
      <scheme val="minor"/>
    </font>
    <font>
      <sz val="14"/>
      <color theme="1"/>
      <name val="Arial"/>
      <family val="2"/>
      <charset val="177"/>
      <scheme val="minor"/>
    </font>
    <font>
      <b/>
      <sz val="12"/>
      <color rgb="FFC00000"/>
      <name val="Arial"/>
      <family val="2"/>
    </font>
    <font>
      <sz val="9"/>
      <name val="Arial"/>
      <family val="2"/>
    </font>
    <font>
      <sz val="9"/>
      <color rgb="FFFF0000"/>
      <name val="Arial"/>
      <family val="2"/>
    </font>
    <font>
      <b/>
      <sz val="14"/>
      <color indexed="8"/>
      <name val="Arial"/>
      <family val="2"/>
    </font>
    <font>
      <b/>
      <sz val="12"/>
      <color rgb="FF800000"/>
      <name val="Arial"/>
      <family val="2"/>
    </font>
    <font>
      <sz val="12"/>
      <color rgb="FF800000"/>
      <name val="Arial"/>
      <family val="2"/>
    </font>
    <font>
      <b/>
      <sz val="11"/>
      <color theme="1"/>
      <name val="Arial"/>
      <family val="2"/>
    </font>
    <font>
      <b/>
      <sz val="18"/>
      <color theme="1"/>
      <name val="Arial"/>
      <family val="2"/>
    </font>
    <font>
      <sz val="14"/>
      <color rgb="FF000000"/>
      <name val="Arial"/>
      <family val="2"/>
    </font>
    <font>
      <b/>
      <sz val="16"/>
      <color theme="1"/>
      <name val="Arial"/>
      <family val="2"/>
    </font>
    <font>
      <b/>
      <sz val="20"/>
      <color theme="1"/>
      <name val="Arial"/>
      <family val="2"/>
    </font>
    <font>
      <sz val="10"/>
      <color indexed="8"/>
      <name val="Arial Unicode MS"/>
      <family val="2"/>
    </font>
    <font>
      <b/>
      <sz val="16"/>
      <name val="Arial"/>
      <family val="2"/>
    </font>
    <font>
      <b/>
      <sz val="12"/>
      <color rgb="FFFF0000"/>
      <name val="Arial"/>
      <family val="2"/>
    </font>
    <font>
      <sz val="14"/>
      <name val="Arial"/>
      <family val="2"/>
    </font>
    <font>
      <sz val="14"/>
      <name val="Arial"/>
      <family val="2"/>
      <scheme val="minor"/>
    </font>
    <font>
      <sz val="11"/>
      <color rgb="FF000000"/>
      <name val="Arial"/>
      <family val="2"/>
      <scheme val="minor"/>
    </font>
    <font>
      <b/>
      <sz val="14"/>
      <color rgb="FFFF0000"/>
      <name val="Arial"/>
      <family val="2"/>
    </font>
    <font>
      <b/>
      <u/>
      <sz val="12"/>
      <color rgb="FFFF0000"/>
      <name val="Arial"/>
      <family val="2"/>
    </font>
    <font>
      <sz val="11"/>
      <color theme="1"/>
      <name val="Times New Roman"/>
      <family val="1"/>
    </font>
    <font>
      <b/>
      <sz val="11"/>
      <color theme="1"/>
      <name val="Times New Roman"/>
      <family val="1"/>
    </font>
    <font>
      <b/>
      <sz val="12"/>
      <color rgb="FF800000"/>
      <name val="Times New Roman"/>
      <family val="1"/>
    </font>
    <font>
      <b/>
      <sz val="11"/>
      <color rgb="FFFF0000"/>
      <name val="Times New Roman"/>
      <family val="1"/>
    </font>
    <font>
      <b/>
      <sz val="14"/>
      <color rgb="FF800000"/>
      <name val="Times New Roman"/>
      <family val="1"/>
    </font>
    <font>
      <b/>
      <sz val="11"/>
      <color rgb="FF0000FF"/>
      <name val="Times New Roman"/>
      <family val="1"/>
    </font>
    <font>
      <b/>
      <sz val="11"/>
      <color indexed="8"/>
      <name val="Arial"/>
      <family val="2"/>
      <scheme val="minor"/>
    </font>
    <font>
      <sz val="12"/>
      <name val="Arial"/>
      <family val="2"/>
      <scheme val="minor"/>
    </font>
    <font>
      <sz val="11"/>
      <color rgb="FF000000"/>
      <name val="Arial"/>
      <family val="2"/>
    </font>
    <font>
      <b/>
      <sz val="9"/>
      <name val="Arial"/>
      <family val="2"/>
    </font>
    <font>
      <sz val="14"/>
      <color indexed="8"/>
      <name val="Arial"/>
      <family val="2"/>
      <scheme val="minor"/>
    </font>
    <font>
      <b/>
      <sz val="14"/>
      <color indexed="8"/>
      <name val="Arial"/>
      <family val="2"/>
      <scheme val="minor"/>
    </font>
    <font>
      <b/>
      <sz val="14"/>
      <name val="Arial"/>
      <family val="2"/>
      <scheme val="minor"/>
    </font>
    <font>
      <sz val="11"/>
      <color rgb="FF9C0006"/>
      <name val="Arial"/>
      <family val="2"/>
      <charset val="177"/>
      <scheme val="minor"/>
    </font>
    <font>
      <b/>
      <sz val="12"/>
      <color theme="6" tint="0.59996337778862885"/>
      <name val="Arial"/>
      <family val="2"/>
    </font>
    <font>
      <b/>
      <sz val="18"/>
      <color rgb="FF9C0006"/>
      <name val="Arial"/>
      <family val="2"/>
      <scheme val="minor"/>
    </font>
    <font>
      <b/>
      <sz val="18"/>
      <color theme="1"/>
      <name val="Arial"/>
      <family val="2"/>
      <scheme val="minor"/>
    </font>
    <font>
      <b/>
      <sz val="18"/>
      <color rgb="FFFF0000"/>
      <name val="Arial"/>
      <family val="2"/>
    </font>
    <font>
      <sz val="11"/>
      <color indexed="8"/>
      <name val="Arial"/>
      <family val="2"/>
      <scheme val="minor"/>
    </font>
  </fonts>
  <fills count="18">
    <fill>
      <patternFill patternType="none"/>
    </fill>
    <fill>
      <patternFill patternType="gray125"/>
    </fill>
    <fill>
      <patternFill patternType="solid">
        <fgColor theme="6" tint="0.79992065187536243"/>
        <bgColor indexed="64"/>
      </patternFill>
    </fill>
    <fill>
      <patternFill patternType="solid">
        <fgColor theme="6" tint="0.79995117038483843"/>
        <bgColor indexed="64"/>
      </patternFill>
    </fill>
    <fill>
      <patternFill patternType="solid">
        <fgColor theme="9" tint="0.79995117038483843"/>
        <bgColor indexed="64"/>
      </patternFill>
    </fill>
    <fill>
      <patternFill patternType="solid">
        <fgColor rgb="FFFFC7CE"/>
        <bgColor indexed="64"/>
      </patternFill>
    </fill>
    <fill>
      <patternFill patternType="solid">
        <fgColor theme="0"/>
        <bgColor indexed="64"/>
      </patternFill>
    </fill>
    <fill>
      <patternFill patternType="solid">
        <fgColor theme="9" tint="0.79992065187536243"/>
        <bgColor indexed="64"/>
      </patternFill>
    </fill>
    <fill>
      <patternFill patternType="solid">
        <fgColor rgb="FFFDE9D9"/>
        <bgColor indexed="64"/>
      </patternFill>
    </fill>
    <fill>
      <patternFill patternType="solid">
        <fgColor rgb="FFFFFF99"/>
        <bgColor indexed="64"/>
      </patternFill>
    </fill>
    <fill>
      <patternFill patternType="solid">
        <fgColor rgb="FFFFFF00"/>
        <bgColor indexed="64"/>
      </patternFill>
    </fill>
    <fill>
      <patternFill patternType="solid">
        <fgColor theme="0"/>
        <bgColor indexed="64"/>
      </patternFill>
    </fill>
    <fill>
      <patternFill patternType="solid">
        <fgColor theme="0" tint="-4.992828150273141E-2"/>
        <bgColor indexed="64"/>
      </patternFill>
    </fill>
    <fill>
      <patternFill patternType="solid">
        <fgColor theme="0" tint="-4.9958800012207406E-2"/>
        <bgColor indexed="64"/>
      </patternFill>
    </fill>
    <fill>
      <patternFill patternType="solid">
        <fgColor theme="0" tint="-0.14993743705557422"/>
        <bgColor indexed="64"/>
      </patternFill>
    </fill>
    <fill>
      <patternFill patternType="solid">
        <fgColor theme="6" tint="0.59996337778862885"/>
        <bgColor indexed="64"/>
      </patternFill>
    </fill>
    <fill>
      <patternFill patternType="solid">
        <fgColor theme="8" tint="0.79995117038483843"/>
        <bgColor indexed="64"/>
      </patternFill>
    </fill>
    <fill>
      <patternFill patternType="solid">
        <fgColor theme="0" tint="-0.14996795556505021"/>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top/>
      <bottom/>
      <diagonal/>
    </border>
    <border>
      <left/>
      <right style="medium">
        <color auto="1"/>
      </right>
      <top/>
      <bottom/>
      <diagonal/>
    </border>
    <border>
      <left style="medium">
        <color auto="1"/>
      </left>
      <right style="double">
        <color auto="1"/>
      </right>
      <top style="double">
        <color auto="1"/>
      </top>
      <bottom style="double">
        <color auto="1"/>
      </bottom>
      <diagonal/>
    </border>
    <border>
      <left style="medium">
        <color auto="1"/>
      </left>
      <right style="double">
        <color auto="1"/>
      </right>
      <top style="double">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double">
        <color auto="1"/>
      </left>
      <right style="double">
        <color auto="1"/>
      </right>
      <top style="double">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double">
        <color auto="1"/>
      </right>
      <top style="medium">
        <color auto="1"/>
      </top>
      <bottom style="double">
        <color auto="1"/>
      </bottom>
      <diagonal/>
    </border>
    <border>
      <left style="double">
        <color auto="1"/>
      </left>
      <right style="medium">
        <color auto="1"/>
      </right>
      <top style="medium">
        <color auto="1"/>
      </top>
      <bottom style="double">
        <color auto="1"/>
      </bottom>
      <diagonal/>
    </border>
    <border>
      <left style="double">
        <color auto="1"/>
      </left>
      <right style="double">
        <color auto="1"/>
      </right>
      <top style="double">
        <color auto="1"/>
      </top>
      <bottom style="double">
        <color auto="1"/>
      </bottom>
      <diagonal/>
    </border>
    <border>
      <left style="double">
        <color auto="1"/>
      </left>
      <right style="medium">
        <color auto="1"/>
      </right>
      <top style="double">
        <color auto="1"/>
      </top>
      <bottom style="double">
        <color auto="1"/>
      </bottom>
      <diagonal/>
    </border>
    <border>
      <left style="double">
        <color auto="1"/>
      </left>
      <right style="medium">
        <color auto="1"/>
      </right>
      <top style="double">
        <color auto="1"/>
      </top>
      <bottom style="medium">
        <color auto="1"/>
      </bottom>
      <diagonal/>
    </border>
    <border>
      <left style="double">
        <color auto="1"/>
      </left>
      <right style="double">
        <color auto="1"/>
      </right>
      <top style="medium">
        <color auto="1"/>
      </top>
      <bottom style="double">
        <color auto="1"/>
      </bottom>
      <diagonal/>
    </border>
    <border>
      <left style="thin">
        <color auto="1"/>
      </left>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double">
        <color auto="1"/>
      </left>
      <right/>
      <top style="medium">
        <color auto="1"/>
      </top>
      <bottom style="medium">
        <color auto="1"/>
      </bottom>
      <diagonal/>
    </border>
    <border>
      <left/>
      <right/>
      <top style="thin">
        <color theme="6"/>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medium">
        <color auto="1"/>
      </left>
      <right/>
      <top style="double">
        <color auto="1"/>
      </top>
      <bottom style="double">
        <color auto="1"/>
      </bottom>
      <diagonal/>
    </border>
    <border>
      <left/>
      <right style="medium">
        <color auto="1"/>
      </right>
      <top style="double">
        <color auto="1"/>
      </top>
      <bottom style="double">
        <color auto="1"/>
      </bottom>
      <diagonal/>
    </border>
    <border>
      <left/>
      <right/>
      <top style="double">
        <color auto="1"/>
      </top>
      <bottom style="double">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medium">
        <color auto="1"/>
      </left>
      <right/>
      <top style="medium">
        <color auto="1"/>
      </top>
      <bottom style="medium">
        <color auto="1"/>
      </bottom>
      <diagonal/>
    </border>
    <border>
      <left/>
      <right style="double">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diagonal/>
    </border>
  </borders>
  <cellStyleXfs count="13">
    <xf numFmtId="0" fontId="0" fillId="0" borderId="0"/>
    <xf numFmtId="9" fontId="65" fillId="0" borderId="0" applyFont="0" applyFill="0" applyBorder="0" applyAlignment="0" applyProtection="0"/>
    <xf numFmtId="44" fontId="65" fillId="0" borderId="0" applyFont="0" applyFill="0" applyBorder="0" applyAlignment="0" applyProtection="0"/>
    <xf numFmtId="43" fontId="65" fillId="0" borderId="0" applyFont="0" applyFill="0" applyBorder="0" applyAlignment="0" applyProtection="0"/>
    <xf numFmtId="43" fontId="3" fillId="0" borderId="0" applyFont="0" applyFill="0" applyBorder="0" applyAlignment="0" applyProtection="0"/>
    <xf numFmtId="0" fontId="2" fillId="2" borderId="0" applyNumberFormat="0" applyBorder="0" applyAlignment="0" applyProtection="0"/>
    <xf numFmtId="0" fontId="1" fillId="0" borderId="0"/>
    <xf numFmtId="43" fontId="3" fillId="0" borderId="0"/>
    <xf numFmtId="43" fontId="65" fillId="0" borderId="0"/>
    <xf numFmtId="0" fontId="2" fillId="3" borderId="0"/>
    <xf numFmtId="0" fontId="1" fillId="0" borderId="0"/>
    <xf numFmtId="0" fontId="1" fillId="4" borderId="0" applyNumberFormat="0" applyBorder="0" applyAlignment="0" applyProtection="0"/>
    <xf numFmtId="0" fontId="60" fillId="5" borderId="0" applyNumberFormat="0" applyBorder="0" applyAlignment="0" applyProtection="0"/>
  </cellStyleXfs>
  <cellXfs count="646">
    <xf numFmtId="0" fontId="0" fillId="0" borderId="0" xfId="0"/>
    <xf numFmtId="0" fontId="38" fillId="6" borderId="4" xfId="0" applyFont="1" applyFill="1" applyBorder="1" applyAlignment="1">
      <alignment horizontal="center" vertical="center" readingOrder="2"/>
    </xf>
    <xf numFmtId="0" fontId="38" fillId="6" borderId="0" xfId="0" applyFont="1" applyFill="1" applyAlignment="1">
      <alignment horizontal="center" vertical="center" readingOrder="2"/>
    </xf>
    <xf numFmtId="0" fontId="38" fillId="6" borderId="3" xfId="0" applyFont="1" applyFill="1" applyBorder="1" applyAlignment="1">
      <alignment horizontal="center" vertical="center" readingOrder="2"/>
    </xf>
    <xf numFmtId="0" fontId="64" fillId="0" borderId="0" xfId="0" applyFont="1" applyBorder="1" applyAlignment="1">
      <alignment horizontal="right" vertical="center" wrapText="1" readingOrder="2"/>
    </xf>
    <xf numFmtId="0" fontId="64" fillId="0" borderId="42" xfId="0" applyFont="1" applyBorder="1" applyAlignment="1">
      <alignment horizontal="right" vertical="center" wrapText="1" readingOrder="2"/>
    </xf>
    <xf numFmtId="0" fontId="36" fillId="0" borderId="4" xfId="0" applyFont="1" applyBorder="1" applyAlignment="1">
      <alignment horizontal="right" vertical="center" wrapText="1" readingOrder="2"/>
    </xf>
    <xf numFmtId="0" fontId="36" fillId="0" borderId="0" xfId="0" applyFont="1" applyAlignment="1">
      <alignment horizontal="right" vertical="center" wrapText="1" readingOrder="2"/>
    </xf>
    <xf numFmtId="0" fontId="36" fillId="0" borderId="3" xfId="0" applyFont="1" applyBorder="1" applyAlignment="1">
      <alignment horizontal="right" vertical="center" wrapText="1" readingOrder="2"/>
    </xf>
    <xf numFmtId="0" fontId="22" fillId="0" borderId="4" xfId="0" applyFont="1" applyBorder="1" applyAlignment="1">
      <alignment horizontal="right" vertical="center" wrapText="1" readingOrder="2"/>
    </xf>
    <xf numFmtId="0" fontId="22" fillId="0" borderId="0" xfId="0" applyFont="1" applyAlignment="1">
      <alignment horizontal="right" vertical="center" wrapText="1" readingOrder="2"/>
    </xf>
    <xf numFmtId="0" fontId="22" fillId="0" borderId="3" xfId="0" applyFont="1" applyBorder="1" applyAlignment="1">
      <alignment horizontal="right" vertical="center" wrapText="1" readingOrder="2"/>
    </xf>
    <xf numFmtId="0" fontId="45" fillId="6" borderId="0" xfId="0" applyFont="1" applyFill="1" applyAlignment="1">
      <alignment horizontal="center" vertical="center" wrapText="1" readingOrder="2"/>
    </xf>
    <xf numFmtId="0" fontId="9" fillId="6" borderId="31" xfId="0" applyFont="1" applyFill="1" applyBorder="1" applyAlignment="1">
      <alignment horizontal="center" vertical="center" wrapText="1" readingOrder="2"/>
    </xf>
    <xf numFmtId="0" fontId="9" fillId="6" borderId="23" xfId="0" applyFont="1" applyFill="1" applyBorder="1" applyAlignment="1">
      <alignment horizontal="center" vertical="center" wrapText="1" readingOrder="2"/>
    </xf>
    <xf numFmtId="164" fontId="21" fillId="0" borderId="0" xfId="3" applyNumberFormat="1" applyFont="1" applyAlignment="1" applyProtection="1">
      <alignment horizontal="center" vertical="center"/>
      <protection locked="0"/>
    </xf>
    <xf numFmtId="0" fontId="23" fillId="0" borderId="0" xfId="0" applyFont="1" applyAlignment="1">
      <alignment horizontal="center" vertical="center" wrapText="1" readingOrder="2"/>
    </xf>
    <xf numFmtId="0" fontId="15" fillId="0" borderId="0" xfId="0" applyFont="1" applyAlignment="1">
      <alignment horizontal="center" vertical="center" wrapText="1" readingOrder="2"/>
    </xf>
    <xf numFmtId="1" fontId="2" fillId="6" borderId="1" xfId="0" applyNumberFormat="1" applyFont="1" applyFill="1" applyBorder="1" applyAlignment="1" applyProtection="1">
      <alignment horizontal="center" vertical="center" wrapText="1"/>
      <protection locked="0"/>
    </xf>
    <xf numFmtId="1" fontId="2" fillId="6" borderId="2" xfId="0" applyNumberFormat="1" applyFont="1" applyFill="1" applyBorder="1" applyAlignment="1" applyProtection="1">
      <alignment horizontal="center" vertical="center" wrapText="1"/>
      <protection locked="0"/>
    </xf>
    <xf numFmtId="0" fontId="16" fillId="0" borderId="3" xfId="0" applyFont="1" applyBorder="1" applyAlignment="1">
      <alignment horizontal="right" vertical="center" readingOrder="2"/>
    </xf>
    <xf numFmtId="0" fontId="16" fillId="0" borderId="3" xfId="0" applyFont="1" applyBorder="1" applyAlignment="1">
      <alignment horizontal="center" vertical="center" readingOrder="2"/>
    </xf>
    <xf numFmtId="0" fontId="13" fillId="0" borderId="3" xfId="0" applyFont="1" applyBorder="1" applyAlignment="1">
      <alignment horizontal="right" vertical="center" readingOrder="2"/>
    </xf>
    <xf numFmtId="0" fontId="36" fillId="0" borderId="3" xfId="0" applyFont="1" applyBorder="1" applyAlignment="1">
      <alignment vertical="center" wrapText="1" readingOrder="2"/>
    </xf>
    <xf numFmtId="0" fontId="36" fillId="0" borderId="0" xfId="0" applyFont="1" applyAlignment="1">
      <alignment vertical="center" wrapText="1" readingOrder="2"/>
    </xf>
    <xf numFmtId="0" fontId="36" fillId="0" borderId="4" xfId="0" applyFont="1" applyBorder="1" applyAlignment="1">
      <alignment vertical="center" wrapText="1" readingOrder="2"/>
    </xf>
    <xf numFmtId="0" fontId="15" fillId="6" borderId="5" xfId="5" applyFont="1" applyFill="1" applyBorder="1" applyAlignment="1" applyProtection="1">
      <alignment horizontal="center" vertical="center" wrapText="1" readingOrder="2"/>
    </xf>
    <xf numFmtId="0" fontId="15" fillId="6" borderId="6" xfId="5" applyFont="1" applyFill="1" applyBorder="1" applyAlignment="1" applyProtection="1">
      <alignment horizontal="center" vertical="center" wrapText="1" readingOrder="2"/>
    </xf>
    <xf numFmtId="1" fontId="4" fillId="7" borderId="1" xfId="0" applyNumberFormat="1" applyFont="1" applyFill="1" applyBorder="1" applyAlignment="1" applyProtection="1">
      <alignment horizontal="center" vertical="center"/>
      <protection locked="0"/>
    </xf>
    <xf numFmtId="1" fontId="4" fillId="7" borderId="1" xfId="0" applyNumberFormat="1" applyFont="1" applyFill="1" applyBorder="1" applyAlignment="1" applyProtection="1">
      <alignment horizontal="center" vertical="center" wrapText="1"/>
      <protection locked="0"/>
    </xf>
    <xf numFmtId="1" fontId="4" fillId="6" borderId="1" xfId="0" applyNumberFormat="1" applyFont="1" applyFill="1" applyBorder="1" applyAlignment="1" applyProtection="1">
      <alignment horizontal="center" vertical="center" wrapText="1"/>
      <protection locked="0"/>
    </xf>
    <xf numFmtId="1" fontId="2" fillId="4" borderId="1" xfId="0" applyNumberFormat="1" applyFont="1" applyFill="1" applyBorder="1" applyAlignment="1" applyProtection="1">
      <alignment horizontal="center" vertical="center"/>
      <protection locked="0"/>
    </xf>
    <xf numFmtId="1" fontId="2" fillId="4" borderId="1" xfId="0" applyNumberFormat="1" applyFont="1" applyFill="1" applyBorder="1" applyAlignment="1" applyProtection="1">
      <alignment horizontal="center" vertical="center" wrapText="1"/>
      <protection locked="0"/>
    </xf>
    <xf numFmtId="1" fontId="2" fillId="6" borderId="1" xfId="0" applyNumberFormat="1" applyFont="1" applyFill="1" applyBorder="1" applyAlignment="1" applyProtection="1">
      <alignment horizontal="center" vertical="center" wrapText="1"/>
      <protection locked="0"/>
    </xf>
    <xf numFmtId="0" fontId="35" fillId="6" borderId="0" xfId="0" applyFont="1" applyFill="1" applyAlignment="1">
      <alignment horizontal="center" vertical="center" readingOrder="2"/>
    </xf>
    <xf numFmtId="0" fontId="0" fillId="0" borderId="0" xfId="0" applyAlignment="1">
      <alignment vertical="center"/>
    </xf>
    <xf numFmtId="0" fontId="34" fillId="6" borderId="0" xfId="0" applyFont="1" applyFill="1" applyAlignment="1">
      <alignment vertical="center"/>
    </xf>
    <xf numFmtId="0" fontId="34" fillId="6" borderId="7" xfId="0" applyFont="1" applyFill="1" applyBorder="1" applyAlignment="1" applyProtection="1">
      <alignment vertical="center"/>
      <protection locked="0"/>
    </xf>
    <xf numFmtId="0" fontId="34" fillId="6" borderId="8" xfId="0" applyFont="1" applyFill="1" applyBorder="1" applyAlignment="1" applyProtection="1">
      <alignment vertical="center"/>
      <protection locked="0"/>
    </xf>
    <xf numFmtId="0" fontId="34" fillId="6" borderId="9" xfId="0" applyFont="1" applyFill="1" applyBorder="1" applyAlignment="1" applyProtection="1">
      <alignment vertical="center"/>
      <protection locked="0"/>
    </xf>
    <xf numFmtId="0" fontId="17" fillId="6" borderId="0" xfId="0" applyFont="1" applyFill="1" applyAlignment="1">
      <alignment vertical="center"/>
    </xf>
    <xf numFmtId="0" fontId="34" fillId="6" borderId="3" xfId="0" applyFont="1" applyFill="1" applyBorder="1" applyAlignment="1">
      <alignment vertical="center"/>
    </xf>
    <xf numFmtId="0" fontId="34" fillId="6" borderId="4" xfId="0" applyFont="1" applyFill="1" applyBorder="1" applyAlignment="1">
      <alignment vertical="center"/>
    </xf>
    <xf numFmtId="0" fontId="10" fillId="6" borderId="0" xfId="0" applyFont="1" applyFill="1" applyAlignment="1">
      <alignment horizontal="right" vertical="center" readingOrder="2"/>
    </xf>
    <xf numFmtId="0" fontId="0" fillId="0" borderId="3" xfId="0" applyBorder="1" applyAlignment="1">
      <alignment vertical="center"/>
    </xf>
    <xf numFmtId="0" fontId="0" fillId="0" borderId="4" xfId="0" applyBorder="1" applyAlignment="1">
      <alignment vertical="center"/>
    </xf>
    <xf numFmtId="0" fontId="2" fillId="6" borderId="3" xfId="0" applyFont="1" applyFill="1" applyBorder="1" applyAlignment="1">
      <alignment vertical="center" wrapText="1" readingOrder="2"/>
    </xf>
    <xf numFmtId="0" fontId="11" fillId="6" borderId="0" xfId="0" applyFont="1" applyFill="1" applyAlignment="1">
      <alignment vertical="center" wrapText="1" readingOrder="2"/>
    </xf>
    <xf numFmtId="0" fontId="11" fillId="6" borderId="4" xfId="0" applyFont="1" applyFill="1" applyBorder="1" applyAlignment="1">
      <alignment vertical="center" wrapText="1" readingOrder="2"/>
    </xf>
    <xf numFmtId="0" fontId="11" fillId="6" borderId="3" xfId="0" applyFont="1" applyFill="1" applyBorder="1" applyAlignment="1">
      <alignment vertical="center" wrapText="1" readingOrder="2"/>
    </xf>
    <xf numFmtId="0" fontId="11" fillId="6" borderId="0" xfId="0" applyFont="1" applyFill="1" applyAlignment="1">
      <alignment vertical="center" readingOrder="2"/>
    </xf>
    <xf numFmtId="0" fontId="11" fillId="6" borderId="4" xfId="0" applyFont="1" applyFill="1" applyBorder="1" applyAlignment="1">
      <alignment vertical="center" readingOrder="2"/>
    </xf>
    <xf numFmtId="0" fontId="0" fillId="0" borderId="0" xfId="3" applyNumberFormat="1" applyFont="1" applyAlignment="1" applyProtection="1">
      <alignment vertical="center" readingOrder="2"/>
    </xf>
    <xf numFmtId="0" fontId="0" fillId="0" borderId="0" xfId="3" applyNumberFormat="1" applyFont="1" applyAlignment="1" applyProtection="1">
      <alignment horizontal="right" vertical="center" wrapText="1" readingOrder="2"/>
    </xf>
    <xf numFmtId="0" fontId="19" fillId="0" borderId="0" xfId="3" applyNumberFormat="1" applyFont="1" applyAlignment="1" applyProtection="1">
      <alignment horizontal="right" vertical="center" wrapText="1"/>
    </xf>
    <xf numFmtId="0" fontId="27" fillId="0" borderId="0" xfId="3" applyNumberFormat="1" applyFont="1" applyAlignment="1" applyProtection="1">
      <alignment horizontal="right" vertical="center" wrapText="1"/>
    </xf>
    <xf numFmtId="0" fontId="5" fillId="6" borderId="10" xfId="3" applyNumberFormat="1" applyFont="1" applyFill="1" applyBorder="1" applyAlignment="1" applyProtection="1">
      <alignment horizontal="center" vertical="center" wrapText="1" readingOrder="2"/>
    </xf>
    <xf numFmtId="0" fontId="17" fillId="6" borderId="0" xfId="0" applyFont="1" applyFill="1" applyAlignment="1">
      <alignment horizontal="right" vertical="center" readingOrder="2"/>
    </xf>
    <xf numFmtId="0" fontId="17" fillId="6" borderId="0" xfId="0" applyFont="1" applyFill="1" applyAlignment="1">
      <alignment horizontal="right" vertical="center" wrapText="1" readingOrder="2"/>
    </xf>
    <xf numFmtId="0" fontId="0" fillId="0" borderId="0" xfId="0" applyAlignment="1">
      <alignment horizontal="right" vertical="center" readingOrder="2"/>
    </xf>
    <xf numFmtId="0" fontId="18" fillId="6" borderId="0" xfId="0" applyFont="1" applyFill="1" applyAlignment="1">
      <alignment horizontal="right" vertical="center" readingOrder="2"/>
    </xf>
    <xf numFmtId="164" fontId="21" fillId="0" borderId="0" xfId="3" applyNumberFormat="1" applyFont="1" applyAlignment="1" applyProtection="1">
      <alignment vertical="center"/>
      <protection locked="0"/>
    </xf>
    <xf numFmtId="164" fontId="21" fillId="0" borderId="0" xfId="3" applyNumberFormat="1" applyFont="1" applyAlignment="1">
      <alignment vertical="center" readingOrder="2"/>
    </xf>
    <xf numFmtId="0" fontId="15" fillId="6" borderId="2" xfId="0" applyFont="1" applyFill="1" applyBorder="1" applyAlignment="1">
      <alignment horizontal="center" vertical="center" wrapText="1"/>
    </xf>
    <xf numFmtId="0" fontId="14" fillId="0" borderId="0" xfId="0" applyFont="1" applyAlignment="1">
      <alignment horizontal="center"/>
    </xf>
    <xf numFmtId="0" fontId="15" fillId="6" borderId="2" xfId="0" applyFont="1" applyFill="1" applyBorder="1" applyAlignment="1">
      <alignment horizontal="center" vertical="center" wrapText="1" readingOrder="2"/>
    </xf>
    <xf numFmtId="10" fontId="15" fillId="6" borderId="2" xfId="0" applyNumberFormat="1" applyFont="1" applyFill="1" applyBorder="1" applyAlignment="1">
      <alignment horizontal="center" vertical="center" wrapText="1"/>
    </xf>
    <xf numFmtId="1" fontId="14" fillId="4" borderId="1" xfId="0" applyNumberFormat="1" applyFont="1" applyFill="1" applyBorder="1" applyAlignment="1" applyProtection="1">
      <alignment horizontal="center" vertical="center"/>
      <protection locked="0"/>
    </xf>
    <xf numFmtId="1" fontId="14" fillId="4" borderId="1" xfId="0" applyNumberFormat="1" applyFont="1" applyFill="1" applyBorder="1" applyAlignment="1" applyProtection="1">
      <alignment horizontal="center" vertical="center" wrapText="1"/>
      <protection locked="0"/>
    </xf>
    <xf numFmtId="1" fontId="14" fillId="6" borderId="1" xfId="0" applyNumberFormat="1" applyFont="1" applyFill="1" applyBorder="1" applyAlignment="1" applyProtection="1">
      <alignment horizontal="center" vertical="center" wrapText="1"/>
      <protection locked="0"/>
    </xf>
    <xf numFmtId="0" fontId="14" fillId="0" borderId="0" xfId="0" applyFont="1"/>
    <xf numFmtId="164" fontId="23" fillId="0" borderId="0" xfId="3" applyNumberFormat="1" applyFont="1" applyAlignment="1">
      <alignment horizontal="center" vertical="center"/>
    </xf>
    <xf numFmtId="164" fontId="21" fillId="0" borderId="0" xfId="3" applyNumberFormat="1" applyFont="1" applyAlignment="1">
      <alignment horizontal="right" vertical="center" readingOrder="2"/>
    </xf>
    <xf numFmtId="164" fontId="6" fillId="0" borderId="0" xfId="3" applyNumberFormat="1" applyFont="1" applyAlignment="1">
      <alignment horizontal="center" vertical="center"/>
    </xf>
    <xf numFmtId="1" fontId="14" fillId="8" borderId="1" xfId="0" applyNumberFormat="1" applyFont="1" applyFill="1" applyBorder="1" applyAlignment="1" applyProtection="1">
      <alignment horizontal="center" vertical="center"/>
      <protection locked="0"/>
    </xf>
    <xf numFmtId="1" fontId="14" fillId="8" borderId="1" xfId="0" applyNumberFormat="1" applyFont="1" applyFill="1" applyBorder="1" applyAlignment="1" applyProtection="1">
      <alignment horizontal="center" vertical="center" wrapText="1"/>
      <protection locked="0"/>
    </xf>
    <xf numFmtId="9" fontId="14" fillId="6" borderId="1" xfId="0" applyNumberFormat="1" applyFont="1" applyFill="1" applyBorder="1" applyAlignment="1">
      <alignment horizontal="center" vertical="center" wrapText="1"/>
    </xf>
    <xf numFmtId="164" fontId="21" fillId="0" borderId="0" xfId="3" applyNumberFormat="1" applyFont="1" applyAlignment="1" applyProtection="1">
      <alignment horizontal="center"/>
      <protection locked="0"/>
    </xf>
    <xf numFmtId="164" fontId="21" fillId="0" borderId="0" xfId="3" applyNumberFormat="1" applyFont="1" applyProtection="1">
      <protection locked="0"/>
    </xf>
    <xf numFmtId="164" fontId="0" fillId="0" borderId="0" xfId="3" applyNumberFormat="1" applyFont="1" applyAlignment="1" applyProtection="1">
      <alignment vertical="center" readingOrder="2"/>
    </xf>
    <xf numFmtId="164" fontId="19" fillId="0" borderId="0" xfId="3" applyNumberFormat="1" applyFont="1" applyAlignment="1" applyProtection="1">
      <alignment horizontal="right" vertical="center" wrapText="1"/>
    </xf>
    <xf numFmtId="164" fontId="27" fillId="0" borderId="0" xfId="3" applyNumberFormat="1" applyFont="1" applyAlignment="1" applyProtection="1">
      <alignment horizontal="right" vertical="center" wrapText="1"/>
    </xf>
    <xf numFmtId="167" fontId="0" fillId="0" borderId="0" xfId="3" applyNumberFormat="1" applyFont="1" applyAlignment="1" applyProtection="1">
      <alignment horizontal="right" vertical="center" readingOrder="2"/>
    </xf>
    <xf numFmtId="164" fontId="29" fillId="6" borderId="0" xfId="3" applyNumberFormat="1" applyFont="1" applyFill="1" applyAlignment="1" applyProtection="1">
      <alignment vertical="center"/>
    </xf>
    <xf numFmtId="164" fontId="21" fillId="6" borderId="11" xfId="3" applyNumberFormat="1" applyFont="1" applyFill="1" applyBorder="1" applyAlignment="1" applyProtection="1">
      <alignment horizontal="right" vertical="center"/>
    </xf>
    <xf numFmtId="166" fontId="21" fillId="6" borderId="11" xfId="3" applyNumberFormat="1" applyFont="1" applyFill="1" applyBorder="1" applyAlignment="1" applyProtection="1">
      <alignment horizontal="right" vertical="center"/>
    </xf>
    <xf numFmtId="9" fontId="21" fillId="6" borderId="11" xfId="1" applyFont="1" applyFill="1" applyBorder="1" applyAlignment="1" applyProtection="1">
      <alignment horizontal="right" vertical="center"/>
    </xf>
    <xf numFmtId="49" fontId="21" fillId="6" borderId="12" xfId="3" applyNumberFormat="1" applyFont="1" applyFill="1" applyBorder="1" applyAlignment="1" applyProtection="1">
      <alignment horizontal="right" vertical="center"/>
    </xf>
    <xf numFmtId="164" fontId="21" fillId="6" borderId="0" xfId="3" applyNumberFormat="1" applyFont="1" applyFill="1" applyAlignment="1" applyProtection="1">
      <alignment vertical="center"/>
    </xf>
    <xf numFmtId="38" fontId="14" fillId="4" borderId="3" xfId="0" applyNumberFormat="1" applyFont="1" applyFill="1" applyBorder="1" applyAlignment="1" applyProtection="1">
      <alignment horizontal="right" vertical="center"/>
      <protection locked="0"/>
    </xf>
    <xf numFmtId="0" fontId="5" fillId="6" borderId="10" xfId="3" applyNumberFormat="1" applyFont="1" applyFill="1" applyBorder="1" applyAlignment="1" applyProtection="1">
      <alignment horizontal="center" vertical="center" wrapText="1" readingOrder="2"/>
    </xf>
    <xf numFmtId="1" fontId="10" fillId="7" borderId="13" xfId="0" applyNumberFormat="1" applyFont="1" applyFill="1" applyBorder="1" applyAlignment="1" applyProtection="1">
      <alignment horizontal="center" vertical="center" wrapText="1" readingOrder="2"/>
      <protection locked="0"/>
    </xf>
    <xf numFmtId="1" fontId="10" fillId="7" borderId="13" xfId="0" applyNumberFormat="1" applyFont="1" applyFill="1" applyBorder="1" applyAlignment="1">
      <alignment horizontal="center" vertical="center" wrapText="1" readingOrder="2"/>
    </xf>
    <xf numFmtId="164" fontId="2" fillId="6" borderId="1" xfId="3" applyNumberFormat="1" applyFont="1" applyFill="1" applyBorder="1" applyAlignment="1" applyProtection="1">
      <alignment horizontal="center" vertical="center" wrapText="1"/>
      <protection locked="0"/>
    </xf>
    <xf numFmtId="164" fontId="2" fillId="6" borderId="1" xfId="3" applyNumberFormat="1" applyFont="1" applyFill="1" applyBorder="1" applyAlignment="1" applyProtection="1">
      <alignment horizontal="center" vertical="center" wrapText="1"/>
      <protection locked="0"/>
    </xf>
    <xf numFmtId="164" fontId="2" fillId="6" borderId="1" xfId="3" applyNumberFormat="1" applyFont="1" applyFill="1" applyBorder="1" applyAlignment="1" applyProtection="1">
      <alignment horizontal="center" vertical="center" wrapText="1"/>
    </xf>
    <xf numFmtId="0" fontId="15" fillId="0" borderId="0" xfId="0" applyFont="1" applyAlignment="1">
      <alignment horizontal="center" vertical="center" readingOrder="2"/>
    </xf>
    <xf numFmtId="164" fontId="14" fillId="6" borderId="1" xfId="3" applyNumberFormat="1" applyFont="1" applyFill="1" applyBorder="1" applyAlignment="1">
      <alignment horizontal="center" vertical="center" wrapText="1"/>
    </xf>
    <xf numFmtId="164" fontId="14" fillId="6" borderId="1" xfId="3" applyNumberFormat="1" applyFont="1" applyFill="1" applyBorder="1" applyAlignment="1" applyProtection="1">
      <alignment horizontal="center" vertical="center" wrapText="1"/>
      <protection locked="0"/>
    </xf>
    <xf numFmtId="164" fontId="0" fillId="0" borderId="0" xfId="3" applyNumberFormat="1" applyFont="1" applyAlignment="1" applyProtection="1">
      <alignment vertical="center"/>
    </xf>
    <xf numFmtId="164" fontId="0" fillId="0" borderId="0" xfId="3" applyNumberFormat="1" applyFont="1" applyAlignment="1" applyProtection="1">
      <alignment horizontal="right" vertical="center" wrapText="1"/>
    </xf>
    <xf numFmtId="164" fontId="0" fillId="0" borderId="0" xfId="3" applyNumberFormat="1" applyFont="1" applyAlignment="1" applyProtection="1">
      <alignment horizontal="right" vertical="center"/>
    </xf>
    <xf numFmtId="164" fontId="26" fillId="0" borderId="0" xfId="3" applyNumberFormat="1" applyFont="1" applyAlignment="1" applyProtection="1">
      <alignment horizontal="right" vertical="center" wrapText="1"/>
    </xf>
    <xf numFmtId="164" fontId="3" fillId="0" borderId="0" xfId="3" applyNumberFormat="1" applyFont="1" applyAlignment="1" applyProtection="1">
      <alignment vertical="center" readingOrder="2"/>
    </xf>
    <xf numFmtId="164" fontId="3" fillId="0" borderId="0" xfId="3" applyNumberFormat="1" applyFont="1" applyAlignment="1" applyProtection="1">
      <alignment horizontal="right" vertical="center" wrapText="1" readingOrder="2"/>
    </xf>
    <xf numFmtId="164" fontId="3" fillId="0" borderId="0" xfId="3" applyNumberFormat="1" applyFont="1" applyAlignment="1" applyProtection="1">
      <alignment horizontal="right" vertical="center" readingOrder="2"/>
    </xf>
    <xf numFmtId="38" fontId="14" fillId="7" borderId="7" xfId="0" applyNumberFormat="1" applyFont="1" applyFill="1" applyBorder="1" applyAlignment="1">
      <alignment horizontal="right" vertical="center"/>
    </xf>
    <xf numFmtId="38" fontId="14" fillId="7" borderId="8" xfId="0" applyNumberFormat="1" applyFont="1" applyFill="1" applyBorder="1" applyAlignment="1">
      <alignment horizontal="right" vertical="center"/>
    </xf>
    <xf numFmtId="38" fontId="14" fillId="7" borderId="8" xfId="0" applyNumberFormat="1" applyFont="1" applyFill="1" applyBorder="1" applyAlignment="1">
      <alignment vertical="center"/>
    </xf>
    <xf numFmtId="164" fontId="14" fillId="7" borderId="8" xfId="3" applyNumberFormat="1" applyFont="1" applyFill="1" applyBorder="1" applyAlignment="1" applyProtection="1">
      <alignment vertical="center"/>
    </xf>
    <xf numFmtId="38" fontId="14" fillId="7" borderId="9" xfId="0" applyNumberFormat="1" applyFont="1" applyFill="1" applyBorder="1" applyAlignment="1">
      <alignment horizontal="right" vertical="center"/>
    </xf>
    <xf numFmtId="38" fontId="14" fillId="7" borderId="3" xfId="0" applyNumberFormat="1" applyFont="1" applyFill="1" applyBorder="1" applyAlignment="1">
      <alignment horizontal="right" vertical="center"/>
    </xf>
    <xf numFmtId="38" fontId="14" fillId="7" borderId="4" xfId="0" applyNumberFormat="1" applyFont="1" applyFill="1" applyBorder="1" applyAlignment="1">
      <alignment horizontal="right" vertical="center"/>
    </xf>
    <xf numFmtId="38" fontId="14" fillId="7" borderId="14" xfId="0" applyNumberFormat="1" applyFont="1" applyFill="1" applyBorder="1" applyAlignment="1">
      <alignment horizontal="right" vertical="center"/>
    </xf>
    <xf numFmtId="38" fontId="14" fillId="7" borderId="15" xfId="0" applyNumberFormat="1" applyFont="1" applyFill="1" applyBorder="1" applyAlignment="1">
      <alignment horizontal="right" vertical="center"/>
    </xf>
    <xf numFmtId="38" fontId="14" fillId="7" borderId="15" xfId="0" applyNumberFormat="1" applyFont="1" applyFill="1" applyBorder="1" applyAlignment="1">
      <alignment vertical="center"/>
    </xf>
    <xf numFmtId="164" fontId="14" fillId="7" borderId="15" xfId="3" applyNumberFormat="1" applyFont="1" applyFill="1" applyBorder="1" applyAlignment="1" applyProtection="1">
      <alignment vertical="center"/>
    </xf>
    <xf numFmtId="38" fontId="14" fillId="7" borderId="16" xfId="0" applyNumberFormat="1" applyFont="1" applyFill="1" applyBorder="1" applyAlignment="1">
      <alignment horizontal="right" vertical="center"/>
    </xf>
    <xf numFmtId="0" fontId="11" fillId="0" borderId="0" xfId="0" applyFont="1" applyAlignment="1">
      <alignment vertical="center"/>
    </xf>
    <xf numFmtId="0" fontId="2" fillId="0" borderId="0" xfId="0" applyFont="1" applyAlignment="1">
      <alignment horizontal="center" vertical="center"/>
    </xf>
    <xf numFmtId="164" fontId="0" fillId="0" borderId="0" xfId="3" applyNumberFormat="1" applyFont="1" applyAlignment="1" applyProtection="1">
      <alignment horizontal="center" vertical="center"/>
    </xf>
    <xf numFmtId="164" fontId="3" fillId="0" borderId="0" xfId="3" applyNumberFormat="1" applyFont="1" applyAlignment="1" applyProtection="1">
      <alignment horizontal="center" vertical="center" readingOrder="2"/>
    </xf>
    <xf numFmtId="164" fontId="0" fillId="0" borderId="0" xfId="3" applyNumberFormat="1" applyFont="1" applyAlignment="1" applyProtection="1"/>
    <xf numFmtId="164" fontId="0" fillId="0" borderId="0" xfId="3" applyNumberFormat="1" applyFont="1" applyAlignment="1" applyProtection="1">
      <alignment horizontal="right" wrapText="1"/>
    </xf>
    <xf numFmtId="164" fontId="0" fillId="0" borderId="0" xfId="3" applyNumberFormat="1" applyFont="1" applyAlignment="1" applyProtection="1">
      <alignment horizontal="right"/>
    </xf>
    <xf numFmtId="164" fontId="0" fillId="0" borderId="0" xfId="3" applyNumberFormat="1" applyFont="1" applyAlignment="1" applyProtection="1">
      <alignment vertical="top"/>
    </xf>
    <xf numFmtId="0" fontId="2" fillId="0" borderId="0" xfId="0" applyFont="1" applyAlignment="1">
      <alignment horizontal="center"/>
    </xf>
    <xf numFmtId="0" fontId="10" fillId="6" borderId="2" xfId="0" applyFont="1" applyFill="1" applyBorder="1" applyAlignment="1">
      <alignment horizontal="center" vertical="center" wrapText="1" readingOrder="2"/>
    </xf>
    <xf numFmtId="10" fontId="10" fillId="6" borderId="2" xfId="0" applyNumberFormat="1" applyFont="1" applyFill="1" applyBorder="1" applyAlignment="1">
      <alignment horizontal="center" vertical="center" wrapText="1"/>
    </xf>
    <xf numFmtId="0" fontId="10" fillId="6" borderId="2" xfId="0" applyFont="1" applyFill="1" applyBorder="1" applyAlignment="1">
      <alignment horizontal="center" vertical="center" wrapText="1"/>
    </xf>
    <xf numFmtId="0" fontId="4" fillId="0" borderId="0" xfId="0" applyFont="1" applyAlignment="1">
      <alignment horizontal="center"/>
    </xf>
    <xf numFmtId="164" fontId="4" fillId="6" borderId="1" xfId="3" applyNumberFormat="1" applyFont="1" applyFill="1" applyBorder="1" applyAlignment="1" applyProtection="1">
      <alignment horizontal="center" vertical="center" wrapText="1"/>
    </xf>
    <xf numFmtId="9" fontId="2" fillId="6" borderId="1" xfId="0" applyNumberFormat="1" applyFont="1" applyFill="1" applyBorder="1" applyAlignment="1">
      <alignment horizontal="center" vertical="center" wrapText="1"/>
    </xf>
    <xf numFmtId="0" fontId="20" fillId="0" borderId="0" xfId="0" applyFont="1" applyAlignment="1">
      <alignment horizontal="center" vertical="center" wrapText="1" readingOrder="2"/>
    </xf>
    <xf numFmtId="164" fontId="2" fillId="6" borderId="1" xfId="3" applyNumberFormat="1" applyFont="1" applyFill="1" applyBorder="1" applyAlignment="1" applyProtection="1">
      <alignment horizontal="center" vertical="center" wrapText="1"/>
    </xf>
    <xf numFmtId="164" fontId="21" fillId="0" borderId="0" xfId="3" applyNumberFormat="1" applyFont="1" applyAlignment="1" applyProtection="1">
      <alignment vertical="center"/>
    </xf>
    <xf numFmtId="164" fontId="21" fillId="0" borderId="0" xfId="3" applyNumberFormat="1" applyFont="1" applyAlignment="1" applyProtection="1">
      <alignment horizontal="center" vertical="center" readingOrder="2"/>
    </xf>
    <xf numFmtId="38" fontId="14" fillId="4" borderId="7" xfId="0" applyNumberFormat="1" applyFont="1" applyFill="1" applyBorder="1" applyAlignment="1">
      <alignment horizontal="right" vertical="center"/>
    </xf>
    <xf numFmtId="38" fontId="14" fillId="4" borderId="8" xfId="0" applyNumberFormat="1" applyFont="1" applyFill="1" applyBorder="1" applyAlignment="1">
      <alignment horizontal="right" vertical="center"/>
    </xf>
    <xf numFmtId="38" fontId="14" fillId="4" borderId="8" xfId="0" applyNumberFormat="1" applyFont="1" applyFill="1" applyBorder="1" applyAlignment="1">
      <alignment vertical="center"/>
    </xf>
    <xf numFmtId="38" fontId="14" fillId="4" borderId="9" xfId="0" applyNumberFormat="1" applyFont="1" applyFill="1" applyBorder="1" applyAlignment="1">
      <alignment vertical="center"/>
    </xf>
    <xf numFmtId="38" fontId="14" fillId="4" borderId="0" xfId="0" applyNumberFormat="1" applyFont="1" applyFill="1" applyAlignment="1">
      <alignment vertical="center"/>
    </xf>
    <xf numFmtId="38" fontId="14" fillId="4" borderId="4" xfId="0" applyNumberFormat="1" applyFont="1" applyFill="1" applyBorder="1" applyAlignment="1">
      <alignment vertical="center"/>
    </xf>
    <xf numFmtId="38" fontId="14" fillId="4" borderId="3" xfId="0" applyNumberFormat="1" applyFont="1" applyFill="1" applyBorder="1" applyAlignment="1">
      <alignment horizontal="right" vertical="center"/>
    </xf>
    <xf numFmtId="38" fontId="14" fillId="4" borderId="14" xfId="0" applyNumberFormat="1" applyFont="1" applyFill="1" applyBorder="1" applyAlignment="1">
      <alignment horizontal="right" vertical="center"/>
    </xf>
    <xf numFmtId="38" fontId="14" fillId="4" borderId="15" xfId="0" applyNumberFormat="1" applyFont="1" applyFill="1" applyBorder="1" applyAlignment="1">
      <alignment horizontal="right" vertical="center"/>
    </xf>
    <xf numFmtId="38" fontId="14" fillId="4" borderId="15" xfId="0" applyNumberFormat="1" applyFont="1" applyFill="1" applyBorder="1" applyAlignment="1">
      <alignment vertical="center"/>
    </xf>
    <xf numFmtId="38" fontId="14" fillId="4" borderId="16" xfId="0" applyNumberFormat="1" applyFont="1" applyFill="1" applyBorder="1" applyAlignment="1">
      <alignment vertical="center"/>
    </xf>
    <xf numFmtId="49" fontId="14" fillId="0" borderId="0" xfId="3" applyNumberFormat="1" applyFont="1" applyAlignment="1" applyProtection="1">
      <alignment horizontal="center" vertical="center" readingOrder="2"/>
    </xf>
    <xf numFmtId="0" fontId="14" fillId="0" borderId="0" xfId="0" applyFont="1" applyAlignment="1">
      <alignment horizontal="center" vertical="center"/>
    </xf>
    <xf numFmtId="164" fontId="14" fillId="6" borderId="1" xfId="3" applyNumberFormat="1" applyFont="1" applyFill="1" applyBorder="1" applyAlignment="1" applyProtection="1">
      <alignment horizontal="center" vertical="center" wrapText="1"/>
    </xf>
    <xf numFmtId="9" fontId="14" fillId="6" borderId="1" xfId="0" applyNumberFormat="1" applyFont="1" applyFill="1" applyBorder="1" applyAlignment="1">
      <alignment horizontal="center" vertical="center" wrapText="1"/>
    </xf>
    <xf numFmtId="164" fontId="15" fillId="6" borderId="2" xfId="3" applyNumberFormat="1" applyFont="1" applyFill="1" applyBorder="1" applyAlignment="1" applyProtection="1">
      <alignment horizontal="center" vertical="center" wrapText="1" readingOrder="2"/>
      <protection locked="0"/>
    </xf>
    <xf numFmtId="0" fontId="15" fillId="6" borderId="2" xfId="0" applyFont="1" applyFill="1" applyBorder="1" applyAlignment="1" applyProtection="1">
      <alignment horizontal="center" vertical="center" wrapText="1"/>
      <protection locked="0"/>
    </xf>
    <xf numFmtId="164" fontId="9" fillId="0" borderId="0" xfId="3" applyNumberFormat="1" applyFont="1" applyAlignment="1" applyProtection="1">
      <alignment horizontal="center" vertical="center"/>
    </xf>
    <xf numFmtId="164" fontId="4" fillId="0" borderId="0" xfId="3" applyNumberFormat="1" applyFont="1" applyAlignment="1" applyProtection="1">
      <alignment horizontal="right" vertical="center"/>
    </xf>
    <xf numFmtId="164" fontId="3" fillId="0" borderId="0" xfId="3" applyNumberFormat="1" applyFont="1" applyAlignment="1" applyProtection="1">
      <alignment vertical="center"/>
    </xf>
    <xf numFmtId="38" fontId="14" fillId="8" borderId="7" xfId="0" applyNumberFormat="1" applyFont="1" applyFill="1" applyBorder="1" applyAlignment="1">
      <alignment horizontal="right" vertical="center"/>
    </xf>
    <xf numFmtId="0" fontId="0" fillId="8" borderId="8" xfId="0" applyFill="1" applyBorder="1"/>
    <xf numFmtId="0" fontId="0" fillId="8" borderId="9" xfId="0" applyFill="1" applyBorder="1"/>
    <xf numFmtId="38" fontId="14" fillId="8" borderId="3" xfId="0" applyNumberFormat="1" applyFont="1" applyFill="1" applyBorder="1" applyAlignment="1">
      <alignment horizontal="right" vertical="center"/>
    </xf>
    <xf numFmtId="0" fontId="0" fillId="8" borderId="0" xfId="0" applyFill="1"/>
    <xf numFmtId="0" fontId="0" fillId="8" borderId="4" xfId="0" applyFill="1" applyBorder="1"/>
    <xf numFmtId="0" fontId="10" fillId="6" borderId="2"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2" fillId="0" borderId="0" xfId="0" applyFont="1" applyAlignment="1">
      <alignment horizontal="center" wrapText="1"/>
    </xf>
    <xf numFmtId="0" fontId="10" fillId="6" borderId="2" xfId="0" applyFont="1" applyFill="1" applyBorder="1" applyAlignment="1">
      <alignment horizontal="center" vertical="center" wrapText="1" readingOrder="2"/>
    </xf>
    <xf numFmtId="38" fontId="10" fillId="6" borderId="2" xfId="0" applyNumberFormat="1" applyFont="1" applyFill="1" applyBorder="1" applyAlignment="1">
      <alignment horizontal="center" vertical="center" wrapText="1"/>
    </xf>
    <xf numFmtId="0" fontId="10" fillId="0" borderId="0" xfId="0" applyFont="1" applyAlignment="1">
      <alignment horizontal="center" vertical="center"/>
    </xf>
    <xf numFmtId="0" fontId="2" fillId="0" borderId="0" xfId="0" applyFont="1"/>
    <xf numFmtId="164" fontId="4" fillId="0" borderId="0" xfId="3" applyNumberFormat="1" applyFont="1" applyAlignment="1" applyProtection="1">
      <alignment horizontal="center" vertical="center"/>
    </xf>
    <xf numFmtId="164" fontId="12" fillId="0" borderId="0" xfId="3" applyNumberFormat="1" applyFont="1" applyAlignment="1" applyProtection="1">
      <alignment horizontal="right"/>
    </xf>
    <xf numFmtId="164" fontId="12" fillId="0" borderId="0" xfId="3" applyNumberFormat="1" applyFont="1" applyAlignment="1" applyProtection="1"/>
    <xf numFmtId="0" fontId="11" fillId="0" borderId="0" xfId="0" applyFont="1" applyAlignment="1">
      <alignment horizontal="center" vertical="center"/>
    </xf>
    <xf numFmtId="0" fontId="2" fillId="0" borderId="0" xfId="0" applyFont="1" applyAlignment="1">
      <alignment horizontal="center"/>
    </xf>
    <xf numFmtId="38" fontId="15" fillId="4" borderId="8" xfId="0" applyNumberFormat="1" applyFont="1" applyFill="1" applyBorder="1" applyAlignment="1">
      <alignment vertical="center"/>
    </xf>
    <xf numFmtId="38" fontId="15" fillId="4" borderId="8" xfId="0" applyNumberFormat="1" applyFont="1" applyFill="1" applyBorder="1" applyAlignment="1">
      <alignment horizontal="center" vertical="center"/>
    </xf>
    <xf numFmtId="38" fontId="15" fillId="4" borderId="9" xfId="0" applyNumberFormat="1" applyFont="1" applyFill="1" applyBorder="1" applyAlignment="1">
      <alignment vertical="center"/>
    </xf>
    <xf numFmtId="38" fontId="15" fillId="4" borderId="3" xfId="0" applyNumberFormat="1" applyFont="1" applyFill="1" applyBorder="1" applyAlignment="1">
      <alignment horizontal="right" vertical="center"/>
    </xf>
    <xf numFmtId="164" fontId="0" fillId="0" borderId="0" xfId="3" applyNumberFormat="1" applyFont="1" applyAlignment="1" applyProtection="1">
      <alignment horizontal="center"/>
    </xf>
    <xf numFmtId="38" fontId="15" fillId="4" borderId="7" xfId="0" applyNumberFormat="1" applyFont="1" applyFill="1" applyBorder="1" applyAlignment="1">
      <alignment horizontal="right" vertical="center"/>
    </xf>
    <xf numFmtId="164" fontId="3" fillId="6" borderId="0" xfId="3" applyNumberFormat="1" applyFont="1" applyFill="1" applyAlignment="1" applyProtection="1">
      <alignment vertical="center" readingOrder="2"/>
    </xf>
    <xf numFmtId="38" fontId="15" fillId="7" borderId="7" xfId="0" applyNumberFormat="1" applyFont="1" applyFill="1" applyBorder="1" applyAlignment="1">
      <alignment horizontal="right" vertical="center"/>
    </xf>
    <xf numFmtId="38" fontId="41" fillId="7" borderId="3" xfId="0" applyNumberFormat="1" applyFont="1" applyFill="1" applyBorder="1" applyAlignment="1">
      <alignment horizontal="right" vertical="center"/>
    </xf>
    <xf numFmtId="0" fontId="2" fillId="0" borderId="0" xfId="0" applyFont="1"/>
    <xf numFmtId="0" fontId="2" fillId="0" borderId="0" xfId="0" applyFont="1" applyAlignment="1">
      <alignment horizontal="center" wrapText="1"/>
    </xf>
    <xf numFmtId="0" fontId="10" fillId="6" borderId="1" xfId="0" applyFont="1" applyFill="1" applyBorder="1" applyAlignment="1">
      <alignment horizontal="center" vertical="center" wrapText="1"/>
    </xf>
    <xf numFmtId="164" fontId="2" fillId="4" borderId="1" xfId="3" applyNumberFormat="1" applyFont="1" applyFill="1" applyBorder="1" applyAlignment="1" applyProtection="1">
      <alignment horizontal="center" vertical="center" wrapText="1"/>
    </xf>
    <xf numFmtId="0" fontId="2" fillId="0" borderId="0" xfId="0" applyFont="1" applyAlignment="1">
      <alignment wrapText="1"/>
    </xf>
    <xf numFmtId="0" fontId="2" fillId="0" borderId="0" xfId="0" applyFont="1" applyAlignment="1">
      <alignment horizontal="right" vertical="center"/>
    </xf>
    <xf numFmtId="0" fontId="2" fillId="0" borderId="0" xfId="0" applyFont="1" applyAlignment="1">
      <alignment horizontal="right"/>
    </xf>
    <xf numFmtId="0" fontId="47" fillId="0" borderId="0" xfId="0" applyFont="1" applyAlignment="1">
      <alignment horizontal="right"/>
    </xf>
    <xf numFmtId="0" fontId="47" fillId="0" borderId="0" xfId="0" applyFont="1" applyAlignment="1">
      <alignment horizontal="left"/>
    </xf>
    <xf numFmtId="0" fontId="47" fillId="0" borderId="1" xfId="0" applyFont="1" applyBorder="1" applyAlignment="1">
      <alignment horizontal="right"/>
    </xf>
    <xf numFmtId="0" fontId="48" fillId="0" borderId="0" xfId="0" applyFont="1" applyAlignment="1">
      <alignment horizontal="right"/>
    </xf>
    <xf numFmtId="0" fontId="49" fillId="0" borderId="0" xfId="0" applyFont="1" applyAlignment="1">
      <alignment horizontal="left"/>
    </xf>
    <xf numFmtId="38" fontId="49" fillId="9" borderId="1" xfId="0" applyNumberFormat="1" applyFont="1" applyFill="1" applyBorder="1" applyAlignment="1" applyProtection="1">
      <alignment horizontal="right"/>
      <protection locked="0"/>
    </xf>
    <xf numFmtId="14" fontId="47" fillId="0" borderId="0" xfId="0" applyNumberFormat="1" applyFont="1" applyAlignment="1">
      <alignment horizontal="right"/>
    </xf>
    <xf numFmtId="0" fontId="12" fillId="0" borderId="0" xfId="0" applyFont="1" applyAlignment="1">
      <alignment horizontal="right"/>
    </xf>
    <xf numFmtId="0" fontId="47" fillId="0" borderId="1" xfId="0" applyFont="1" applyBorder="1" applyAlignment="1">
      <alignment horizontal="right" wrapText="1"/>
    </xf>
    <xf numFmtId="3" fontId="47" fillId="0" borderId="1" xfId="0" applyNumberFormat="1" applyFont="1" applyBorder="1" applyAlignment="1">
      <alignment horizontal="right"/>
    </xf>
    <xf numFmtId="0" fontId="50" fillId="0" borderId="0" xfId="0" applyFont="1" applyAlignment="1">
      <alignment horizontal="right"/>
    </xf>
    <xf numFmtId="169" fontId="47" fillId="0" borderId="1" xfId="3" applyNumberFormat="1" applyFont="1" applyFill="1" applyBorder="1" applyAlignment="1" applyProtection="1">
      <alignment horizontal="right"/>
    </xf>
    <xf numFmtId="10" fontId="47" fillId="0" borderId="1" xfId="1" applyNumberFormat="1" applyFont="1" applyFill="1" applyBorder="1" applyAlignment="1" applyProtection="1">
      <alignment horizontal="right"/>
    </xf>
    <xf numFmtId="165" fontId="47" fillId="0" borderId="1" xfId="3" applyNumberFormat="1" applyFont="1" applyFill="1" applyBorder="1" applyAlignment="1" applyProtection="1">
      <alignment horizontal="right"/>
    </xf>
    <xf numFmtId="10" fontId="47" fillId="0" borderId="1" xfId="0" applyNumberFormat="1" applyFont="1" applyBorder="1" applyAlignment="1">
      <alignment horizontal="right"/>
    </xf>
    <xf numFmtId="165" fontId="47" fillId="0" borderId="0" xfId="0" applyNumberFormat="1" applyFont="1" applyAlignment="1">
      <alignment horizontal="right"/>
    </xf>
    <xf numFmtId="9" fontId="47" fillId="0" borderId="0" xfId="0" applyNumberFormat="1" applyFont="1" applyAlignment="1">
      <alignment horizontal="right"/>
    </xf>
    <xf numFmtId="165" fontId="47" fillId="0" borderId="0" xfId="3" applyNumberFormat="1" applyFont="1" applyFill="1" applyBorder="1" applyAlignment="1" applyProtection="1">
      <alignment horizontal="right"/>
    </xf>
    <xf numFmtId="0" fontId="51" fillId="0" borderId="0" xfId="0" applyFont="1" applyAlignment="1">
      <alignment horizontal="right"/>
    </xf>
    <xf numFmtId="165" fontId="48" fillId="0" borderId="0" xfId="0" applyNumberFormat="1" applyFont="1" applyAlignment="1">
      <alignment horizontal="right"/>
    </xf>
    <xf numFmtId="0" fontId="48" fillId="0" borderId="1" xfId="0" applyFont="1" applyBorder="1" applyAlignment="1">
      <alignment horizontal="right"/>
    </xf>
    <xf numFmtId="165" fontId="48" fillId="0" borderId="1" xfId="3" applyNumberFormat="1" applyFont="1" applyFill="1" applyBorder="1" applyAlignment="1" applyProtection="1">
      <alignment horizontal="right"/>
    </xf>
    <xf numFmtId="0" fontId="48" fillId="0" borderId="1" xfId="0" applyFont="1" applyBorder="1" applyAlignment="1">
      <alignment horizontal="right" wrapText="1"/>
    </xf>
    <xf numFmtId="10" fontId="48" fillId="0" borderId="1" xfId="0" applyNumberFormat="1" applyFont="1" applyBorder="1" applyAlignment="1">
      <alignment horizontal="right"/>
    </xf>
    <xf numFmtId="0" fontId="52" fillId="0" borderId="0" xfId="0" applyFont="1" applyAlignment="1">
      <alignment horizontal="right"/>
    </xf>
    <xf numFmtId="0" fontId="0" fillId="0" borderId="0" xfId="0" applyAlignment="1">
      <alignment horizontal="center"/>
    </xf>
    <xf numFmtId="0" fontId="19" fillId="0" borderId="0" xfId="3" applyNumberFormat="1" applyFont="1" applyBorder="1" applyAlignment="1" applyProtection="1">
      <alignment horizontal="right" vertical="center" wrapText="1"/>
    </xf>
    <xf numFmtId="0" fontId="23" fillId="6" borderId="0" xfId="3" applyNumberFormat="1" applyFont="1" applyFill="1" applyBorder="1" applyAlignment="1" applyProtection="1">
      <alignment vertical="center"/>
    </xf>
    <xf numFmtId="0" fontId="23" fillId="10" borderId="0" xfId="3" applyNumberFormat="1" applyFont="1" applyFill="1" applyBorder="1" applyAlignment="1" applyProtection="1">
      <alignment vertical="center"/>
    </xf>
    <xf numFmtId="0" fontId="23" fillId="10" borderId="0" xfId="3" applyNumberFormat="1" applyFont="1" applyFill="1" applyBorder="1" applyAlignment="1" applyProtection="1">
      <alignment vertical="center" wrapText="1"/>
    </xf>
    <xf numFmtId="0" fontId="19" fillId="10" borderId="0" xfId="3" applyNumberFormat="1" applyFont="1" applyFill="1" applyBorder="1" applyAlignment="1" applyProtection="1">
      <alignment horizontal="right" vertical="center" wrapText="1"/>
    </xf>
    <xf numFmtId="1" fontId="0" fillId="0" borderId="0" xfId="3" applyNumberFormat="1" applyFont="1" applyAlignment="1" applyProtection="1">
      <alignment horizontal="right"/>
    </xf>
    <xf numFmtId="1" fontId="3" fillId="0" borderId="0" xfId="3" applyNumberFormat="1" applyFont="1" applyAlignment="1" applyProtection="1">
      <alignment horizontal="right" vertical="center" wrapText="1" readingOrder="2"/>
    </xf>
    <xf numFmtId="0" fontId="10" fillId="6" borderId="1" xfId="0" applyFont="1" applyFill="1" applyBorder="1" applyAlignment="1">
      <alignment horizontal="center" vertical="center"/>
    </xf>
    <xf numFmtId="164" fontId="10" fillId="6" borderId="1" xfId="3" applyNumberFormat="1" applyFont="1" applyFill="1" applyBorder="1" applyAlignment="1" applyProtection="1">
      <alignment horizontal="center" vertical="center" wrapText="1"/>
    </xf>
    <xf numFmtId="164" fontId="8" fillId="6" borderId="1" xfId="3" applyNumberFormat="1" applyFont="1" applyFill="1" applyBorder="1" applyAlignment="1">
      <alignment horizontal="center" vertical="center" wrapText="1" readingOrder="2"/>
    </xf>
    <xf numFmtId="164" fontId="7" fillId="6" borderId="1" xfId="3" applyNumberFormat="1" applyFont="1" applyFill="1" applyBorder="1" applyAlignment="1">
      <alignment horizontal="center" vertical="center" wrapText="1" readingOrder="2"/>
    </xf>
    <xf numFmtId="0" fontId="15" fillId="6" borderId="17" xfId="5" applyFont="1" applyFill="1" applyBorder="1" applyAlignment="1" applyProtection="1">
      <alignment horizontal="center" vertical="center" wrapText="1" readingOrder="2"/>
    </xf>
    <xf numFmtId="0" fontId="28" fillId="0" borderId="18" xfId="6" applyFont="1" applyBorder="1" applyAlignment="1">
      <alignment horizontal="center" vertical="center" readingOrder="2"/>
    </xf>
    <xf numFmtId="0" fontId="15" fillId="6" borderId="5" xfId="5" applyFont="1" applyFill="1" applyBorder="1" applyAlignment="1" applyProtection="1">
      <alignment horizontal="center" vertical="center" wrapText="1" readingOrder="2"/>
    </xf>
    <xf numFmtId="49" fontId="10" fillId="7" borderId="19" xfId="0" applyNumberFormat="1" applyFont="1" applyFill="1" applyBorder="1" applyAlignment="1" applyProtection="1">
      <alignment horizontal="center" vertical="center" wrapText="1" readingOrder="2"/>
      <protection locked="0"/>
    </xf>
    <xf numFmtId="0" fontId="28" fillId="0" borderId="20" xfId="6" applyFont="1" applyBorder="1" applyAlignment="1">
      <alignment horizontal="center" vertical="center" readingOrder="2"/>
    </xf>
    <xf numFmtId="49" fontId="10" fillId="7" borderId="13" xfId="0" applyNumberFormat="1" applyFont="1" applyFill="1" applyBorder="1" applyAlignment="1" applyProtection="1">
      <alignment horizontal="center" vertical="center" wrapText="1" readingOrder="2"/>
      <protection locked="0"/>
    </xf>
    <xf numFmtId="0" fontId="28" fillId="0" borderId="21" xfId="6" applyFont="1" applyBorder="1" applyAlignment="1">
      <alignment horizontal="center" vertical="center" readingOrder="2"/>
    </xf>
    <xf numFmtId="49" fontId="10" fillId="7" borderId="22" xfId="0" applyNumberFormat="1" applyFont="1" applyFill="1" applyBorder="1" applyAlignment="1" applyProtection="1">
      <alignment horizontal="center" vertical="center" wrapText="1" readingOrder="2"/>
      <protection locked="0"/>
    </xf>
    <xf numFmtId="49" fontId="15" fillId="6" borderId="17" xfId="5" applyNumberFormat="1" applyFont="1" applyFill="1" applyBorder="1" applyAlignment="1" applyProtection="1">
      <alignment horizontal="center" vertical="center" wrapText="1" readingOrder="2"/>
    </xf>
    <xf numFmtId="49" fontId="15" fillId="6" borderId="5" xfId="5" applyNumberFormat="1" applyFont="1" applyFill="1" applyBorder="1" applyAlignment="1" applyProtection="1">
      <alignment horizontal="center" vertical="center" wrapText="1" readingOrder="2"/>
    </xf>
    <xf numFmtId="49" fontId="15" fillId="6" borderId="6" xfId="5" applyNumberFormat="1" applyFont="1" applyFill="1" applyBorder="1" applyAlignment="1" applyProtection="1">
      <alignment horizontal="center" vertical="center" wrapText="1" readingOrder="2"/>
    </xf>
    <xf numFmtId="0" fontId="15" fillId="6" borderId="17" xfId="6" applyFont="1" applyFill="1" applyBorder="1" applyAlignment="1">
      <alignment horizontal="center" vertical="center" wrapText="1" readingOrder="2"/>
    </xf>
    <xf numFmtId="0" fontId="15" fillId="6" borderId="5" xfId="6" applyFont="1" applyFill="1" applyBorder="1" applyAlignment="1">
      <alignment horizontal="center" vertical="center" wrapText="1" readingOrder="2"/>
    </xf>
    <xf numFmtId="0" fontId="10" fillId="0" borderId="6" xfId="6" applyFont="1" applyBorder="1" applyAlignment="1">
      <alignment horizontal="center" vertical="center" wrapText="1" readingOrder="2"/>
    </xf>
    <xf numFmtId="166" fontId="10" fillId="4" borderId="1" xfId="0" applyNumberFormat="1" applyFont="1" applyFill="1" applyBorder="1" applyAlignment="1">
      <alignment horizontal="center" vertical="center" wrapText="1" readingOrder="2"/>
    </xf>
    <xf numFmtId="49" fontId="10" fillId="4" borderId="1" xfId="0" applyNumberFormat="1" applyFont="1" applyFill="1" applyBorder="1" applyAlignment="1">
      <alignment horizontal="center" vertical="center" wrapText="1"/>
    </xf>
    <xf numFmtId="164" fontId="21" fillId="6" borderId="1" xfId="3" applyNumberFormat="1" applyFont="1" applyFill="1" applyBorder="1" applyAlignment="1" applyProtection="1">
      <alignment horizontal="center" vertical="center" wrapText="1"/>
    </xf>
    <xf numFmtId="166" fontId="21" fillId="4" borderId="1" xfId="3" applyNumberFormat="1" applyFont="1" applyFill="1" applyBorder="1" applyAlignment="1" applyProtection="1">
      <alignment horizontal="center" vertical="center" wrapText="1"/>
      <protection locked="0"/>
    </xf>
    <xf numFmtId="49" fontId="21" fillId="4" borderId="1" xfId="3" applyNumberFormat="1" applyFont="1" applyFill="1" applyBorder="1" applyAlignment="1" applyProtection="1">
      <alignment horizontal="center" vertical="center" wrapText="1"/>
      <protection locked="0"/>
    </xf>
    <xf numFmtId="166" fontId="21" fillId="6" borderId="1" xfId="3" applyNumberFormat="1" applyFont="1" applyFill="1" applyBorder="1" applyAlignment="1" applyProtection="1">
      <alignment horizontal="center" vertical="center" wrapText="1"/>
      <protection locked="0"/>
    </xf>
    <xf numFmtId="1" fontId="2" fillId="7" borderId="1" xfId="0" applyNumberFormat="1" applyFont="1" applyFill="1" applyBorder="1" applyAlignment="1" applyProtection="1">
      <alignment horizontal="center" vertical="center"/>
      <protection locked="0"/>
    </xf>
    <xf numFmtId="1" fontId="2" fillId="7" borderId="1" xfId="0" applyNumberFormat="1" applyFont="1" applyFill="1" applyBorder="1" applyAlignment="1" applyProtection="1">
      <alignment horizontal="center" vertical="center" wrapText="1"/>
      <protection locked="0"/>
    </xf>
    <xf numFmtId="1" fontId="10" fillId="6" borderId="1" xfId="0" applyNumberFormat="1" applyFont="1" applyFill="1" applyBorder="1" applyAlignment="1">
      <alignment horizontal="center" vertical="center" wrapText="1"/>
    </xf>
    <xf numFmtId="164" fontId="8" fillId="6" borderId="1" xfId="3" applyNumberFormat="1" applyFont="1" applyFill="1" applyBorder="1" applyAlignment="1">
      <alignment horizontal="center" vertical="center" wrapText="1"/>
    </xf>
    <xf numFmtId="164" fontId="7" fillId="6" borderId="1" xfId="3" applyNumberFormat="1" applyFont="1" applyFill="1" applyBorder="1" applyAlignment="1">
      <alignment horizontal="center" vertical="center" wrapText="1"/>
    </xf>
    <xf numFmtId="49" fontId="2" fillId="6" borderId="1" xfId="3" applyNumberFormat="1" applyFont="1" applyFill="1" applyBorder="1" applyAlignment="1">
      <alignment horizontal="center" vertical="center" wrapText="1"/>
    </xf>
    <xf numFmtId="164" fontId="2" fillId="6" borderId="1" xfId="3" applyNumberFormat="1" applyFont="1" applyFill="1" applyBorder="1" applyAlignment="1">
      <alignment horizontal="center" vertical="center" wrapText="1"/>
    </xf>
    <xf numFmtId="0" fontId="7" fillId="0" borderId="1" xfId="0" applyFont="1" applyBorder="1" applyAlignment="1">
      <alignment horizontal="center" vertical="center" wrapText="1"/>
    </xf>
    <xf numFmtId="164" fontId="21" fillId="0" borderId="0" xfId="3" applyNumberFormat="1" applyFont="1" applyAlignment="1" applyProtection="1">
      <alignment horizontal="center" vertical="center"/>
    </xf>
    <xf numFmtId="164" fontId="21" fillId="6" borderId="0" xfId="3" applyNumberFormat="1" applyFont="1" applyFill="1" applyAlignment="1" applyProtection="1">
      <alignment horizontal="center" vertical="center"/>
    </xf>
    <xf numFmtId="38" fontId="14" fillId="4" borderId="8" xfId="0" applyNumberFormat="1" applyFont="1" applyFill="1" applyBorder="1" applyAlignment="1">
      <alignment horizontal="center" vertical="center"/>
    </xf>
    <xf numFmtId="164" fontId="14" fillId="4" borderId="8" xfId="3" applyNumberFormat="1" applyFont="1" applyFill="1" applyBorder="1" applyAlignment="1" applyProtection="1">
      <alignment horizontal="center" vertical="center"/>
    </xf>
    <xf numFmtId="38" fontId="14" fillId="4" borderId="9" xfId="0" applyNumberFormat="1" applyFont="1" applyFill="1" applyBorder="1" applyAlignment="1">
      <alignment horizontal="center" vertical="center"/>
    </xf>
    <xf numFmtId="38" fontId="14" fillId="4" borderId="4" xfId="0" applyNumberFormat="1" applyFont="1" applyFill="1" applyBorder="1" applyAlignment="1">
      <alignment horizontal="center" vertical="center"/>
    </xf>
    <xf numFmtId="38" fontId="14" fillId="4" borderId="15" xfId="0" applyNumberFormat="1" applyFont="1" applyFill="1" applyBorder="1" applyAlignment="1">
      <alignment horizontal="center" vertical="center"/>
    </xf>
    <xf numFmtId="164" fontId="14" fillId="4" borderId="15" xfId="3" applyNumberFormat="1" applyFont="1" applyFill="1" applyBorder="1" applyAlignment="1" applyProtection="1">
      <alignment horizontal="center" vertical="center"/>
    </xf>
    <xf numFmtId="38" fontId="14" fillId="4" borderId="16" xfId="0" applyNumberFormat="1" applyFont="1" applyFill="1" applyBorder="1" applyAlignment="1">
      <alignment horizontal="center" vertical="center"/>
    </xf>
    <xf numFmtId="49" fontId="23" fillId="0" borderId="0" xfId="3" applyNumberFormat="1" applyFont="1" applyBorder="1" applyAlignment="1" applyProtection="1">
      <alignment horizontal="center" vertical="center" readingOrder="2"/>
    </xf>
    <xf numFmtId="164" fontId="21" fillId="6" borderId="0" xfId="3" applyNumberFormat="1" applyFont="1" applyFill="1" applyAlignment="1" applyProtection="1">
      <alignment horizontal="center" vertical="center" readingOrder="2"/>
    </xf>
    <xf numFmtId="0" fontId="15" fillId="6" borderId="2" xfId="0" applyFont="1" applyFill="1" applyBorder="1" applyAlignment="1">
      <alignment horizontal="center" vertical="center"/>
    </xf>
    <xf numFmtId="164" fontId="15" fillId="6" borderId="2" xfId="3" applyNumberFormat="1" applyFont="1" applyFill="1" applyBorder="1" applyAlignment="1" applyProtection="1">
      <alignment horizontal="center" vertical="center" wrapText="1" readingOrder="2"/>
    </xf>
    <xf numFmtId="164" fontId="14" fillId="6" borderId="1" xfId="3" applyNumberFormat="1" applyFont="1" applyFill="1" applyBorder="1" applyAlignment="1" applyProtection="1">
      <alignment horizontal="center" vertical="center" wrapText="1"/>
    </xf>
    <xf numFmtId="3" fontId="14" fillId="0" borderId="1" xfId="0" applyNumberFormat="1" applyFont="1" applyBorder="1" applyAlignment="1">
      <alignment horizontal="center" vertical="center"/>
    </xf>
    <xf numFmtId="164" fontId="14" fillId="0" borderId="1" xfId="3" applyNumberFormat="1" applyFont="1" applyBorder="1" applyAlignment="1" applyProtection="1">
      <alignment horizontal="center" vertical="center" wrapText="1"/>
    </xf>
    <xf numFmtId="3" fontId="14" fillId="6" borderId="1" xfId="0" applyNumberFormat="1" applyFont="1" applyFill="1" applyBorder="1" applyAlignment="1">
      <alignment horizontal="center" vertical="center" wrapText="1"/>
    </xf>
    <xf numFmtId="0" fontId="14" fillId="0" borderId="1" xfId="0" applyFont="1" applyBorder="1" applyAlignment="1">
      <alignment horizontal="center" wrapText="1"/>
    </xf>
    <xf numFmtId="164" fontId="21" fillId="0" borderId="0" xfId="3" applyNumberFormat="1" applyFont="1" applyAlignment="1" applyProtection="1">
      <alignment horizontal="right" vertical="center" readingOrder="2"/>
    </xf>
    <xf numFmtId="164" fontId="21" fillId="0" borderId="0" xfId="3" applyNumberFormat="1" applyFont="1" applyAlignment="1">
      <alignment horizontal="center" vertical="center"/>
    </xf>
    <xf numFmtId="164" fontId="21" fillId="0" borderId="0" xfId="3" applyNumberFormat="1" applyFont="1" applyAlignment="1">
      <alignment horizontal="center" vertical="center" readingOrder="2"/>
    </xf>
    <xf numFmtId="38" fontId="14" fillId="4" borderId="8" xfId="0" applyNumberFormat="1" applyFont="1" applyFill="1" applyBorder="1" applyAlignment="1" applyProtection="1">
      <alignment horizontal="center" vertical="center"/>
      <protection locked="0"/>
    </xf>
    <xf numFmtId="38" fontId="14" fillId="4" borderId="9" xfId="0" applyNumberFormat="1" applyFont="1" applyFill="1" applyBorder="1" applyAlignment="1" applyProtection="1">
      <alignment horizontal="center" vertical="center"/>
      <protection locked="0"/>
    </xf>
    <xf numFmtId="38" fontId="14" fillId="4" borderId="4" xfId="0" applyNumberFormat="1" applyFont="1" applyFill="1" applyBorder="1" applyAlignment="1" applyProtection="1">
      <alignment horizontal="center" vertical="center"/>
      <protection locked="0"/>
    </xf>
    <xf numFmtId="38" fontId="14" fillId="4" borderId="15" xfId="0" applyNumberFormat="1" applyFont="1" applyFill="1" applyBorder="1" applyAlignment="1" applyProtection="1">
      <alignment horizontal="center" vertical="center"/>
      <protection locked="0"/>
    </xf>
    <xf numFmtId="38" fontId="14" fillId="4" borderId="16" xfId="0" applyNumberFormat="1" applyFont="1" applyFill="1" applyBorder="1" applyAlignment="1" applyProtection="1">
      <alignment horizontal="center" vertical="center"/>
      <protection locked="0"/>
    </xf>
    <xf numFmtId="0" fontId="42" fillId="0" borderId="0" xfId="0" applyFont="1" applyAlignment="1">
      <alignment horizontal="center" vertical="center"/>
    </xf>
    <xf numFmtId="0" fontId="15"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6" borderId="1" xfId="0" applyFont="1" applyFill="1" applyBorder="1" applyAlignment="1">
      <alignment horizontal="center" wrapText="1"/>
    </xf>
    <xf numFmtId="0" fontId="2" fillId="6" borderId="10" xfId="0" applyFont="1" applyFill="1" applyBorder="1" applyAlignment="1">
      <alignment horizontal="center" vertical="center" readingOrder="2"/>
    </xf>
    <xf numFmtId="164" fontId="2" fillId="7" borderId="1" xfId="3" applyNumberFormat="1" applyFont="1" applyFill="1" applyBorder="1" applyAlignment="1" applyProtection="1">
      <alignment horizontal="center" vertical="center"/>
    </xf>
    <xf numFmtId="0" fontId="2" fillId="6" borderId="1" xfId="0" applyFont="1" applyFill="1" applyBorder="1" applyAlignment="1">
      <alignment horizontal="center" vertical="center" wrapText="1" readingOrder="2"/>
    </xf>
    <xf numFmtId="0" fontId="2" fillId="6" borderId="1" xfId="0" applyFont="1" applyFill="1" applyBorder="1" applyAlignment="1">
      <alignment horizontal="center" vertical="center" readingOrder="2"/>
    </xf>
    <xf numFmtId="164" fontId="2" fillId="0" borderId="1" xfId="3" applyNumberFormat="1" applyFont="1" applyBorder="1" applyAlignment="1" applyProtection="1">
      <alignment horizontal="center" vertical="center" wrapText="1" readingOrder="2"/>
    </xf>
    <xf numFmtId="0" fontId="2" fillId="6" borderId="2" xfId="0" applyFont="1" applyFill="1" applyBorder="1" applyAlignment="1">
      <alignment horizontal="center" vertical="center" wrapText="1" readingOrder="2"/>
    </xf>
    <xf numFmtId="0" fontId="2" fillId="6" borderId="23" xfId="0" applyFont="1" applyFill="1" applyBorder="1" applyAlignment="1">
      <alignment horizontal="center" vertical="center" wrapText="1" readingOrder="2"/>
    </xf>
    <xf numFmtId="0" fontId="7" fillId="0" borderId="10" xfId="0" applyFont="1" applyBorder="1" applyAlignment="1">
      <alignment horizontal="center" vertical="center" wrapText="1" readingOrder="2"/>
    </xf>
    <xf numFmtId="0" fontId="7" fillId="0" borderId="1" xfId="0" applyFont="1" applyBorder="1" applyAlignment="1">
      <alignment horizontal="center" vertical="center" wrapText="1" readingOrder="2"/>
    </xf>
    <xf numFmtId="0" fontId="0" fillId="0" borderId="1" xfId="0" applyBorder="1" applyAlignment="1" applyProtection="1">
      <alignment horizontal="center"/>
      <protection locked="0"/>
    </xf>
    <xf numFmtId="164" fontId="4" fillId="0" borderId="1" xfId="3" applyNumberFormat="1" applyFont="1" applyBorder="1" applyAlignment="1" applyProtection="1">
      <alignment horizontal="center" vertical="center"/>
    </xf>
    <xf numFmtId="0" fontId="5" fillId="6" borderId="24" xfId="3" applyNumberFormat="1" applyFont="1" applyFill="1" applyBorder="1" applyAlignment="1" applyProtection="1">
      <alignment horizontal="center" vertical="center" wrapText="1" readingOrder="2"/>
    </xf>
    <xf numFmtId="0" fontId="20" fillId="6" borderId="10" xfId="3" applyNumberFormat="1" applyFont="1" applyFill="1" applyBorder="1" applyAlignment="1" applyProtection="1">
      <alignment horizontal="center" vertical="center" wrapText="1" readingOrder="2"/>
    </xf>
    <xf numFmtId="167" fontId="5" fillId="6" borderId="10" xfId="3" applyNumberFormat="1" applyFont="1" applyFill="1" applyBorder="1" applyAlignment="1" applyProtection="1">
      <alignment horizontal="center" vertical="center" wrapText="1" readingOrder="2"/>
    </xf>
    <xf numFmtId="164" fontId="5" fillId="6" borderId="10" xfId="3" applyNumberFormat="1" applyFont="1" applyFill="1" applyBorder="1" applyAlignment="1" applyProtection="1">
      <alignment horizontal="center" vertical="center" wrapText="1" readingOrder="2"/>
    </xf>
    <xf numFmtId="0" fontId="0" fillId="6" borderId="1" xfId="3" applyNumberFormat="1" applyFont="1" applyFill="1" applyBorder="1" applyAlignment="1" applyProtection="1">
      <alignment horizontal="center" vertical="center" readingOrder="2"/>
    </xf>
    <xf numFmtId="0" fontId="0" fillId="6" borderId="1" xfId="3" applyNumberFormat="1" applyFont="1" applyFill="1" applyBorder="1" applyAlignment="1" applyProtection="1">
      <alignment horizontal="center" vertical="center" wrapText="1"/>
    </xf>
    <xf numFmtId="167" fontId="39" fillId="6" borderId="1" xfId="0" applyNumberFormat="1" applyFont="1" applyFill="1" applyBorder="1" applyAlignment="1">
      <alignment horizontal="center" vertical="center"/>
    </xf>
    <xf numFmtId="164" fontId="3" fillId="6" borderId="1" xfId="3" applyNumberFormat="1" applyFont="1" applyFill="1" applyBorder="1" applyAlignment="1" applyProtection="1">
      <alignment horizontal="center" vertical="center" readingOrder="2"/>
    </xf>
    <xf numFmtId="0" fontId="0" fillId="6" borderId="1" xfId="3" applyNumberFormat="1" applyFont="1" applyFill="1" applyBorder="1" applyAlignment="1" applyProtection="1">
      <alignment horizontal="center" vertical="center" readingOrder="2"/>
      <extLst>
        <ext xmlns:xfpb="http://schemas.microsoft.com/office/spreadsheetml/2022/featurepropertybag" uri="{C7286773-470A-42A8-94C5-96B5CB345126}">
          <xfpb:xfComplement i="0"/>
        </ext>
      </extLst>
    </xf>
    <xf numFmtId="0" fontId="0" fillId="6" borderId="1" xfId="3" applyNumberFormat="1" applyFont="1" applyFill="1" applyBorder="1" applyAlignment="1" applyProtection="1">
      <alignment horizontal="center" vertical="center" readingOrder="2"/>
    </xf>
    <xf numFmtId="167" fontId="3" fillId="6" borderId="1" xfId="3" applyNumberFormat="1" applyFont="1" applyFill="1" applyBorder="1" applyAlignment="1" applyProtection="1">
      <alignment horizontal="center" vertical="center" readingOrder="2"/>
    </xf>
    <xf numFmtId="0" fontId="0" fillId="6" borderId="1" xfId="3" applyNumberFormat="1" applyFont="1" applyFill="1" applyBorder="1" applyAlignment="1" applyProtection="1">
      <alignment horizontal="center" vertical="center"/>
    </xf>
    <xf numFmtId="0" fontId="0" fillId="11" borderId="1" xfId="3" applyNumberFormat="1" applyFont="1" applyFill="1" applyBorder="1" applyAlignment="1" applyProtection="1">
      <alignment horizontal="center" vertical="center" readingOrder="2"/>
      <extLst>
        <ext xmlns:xfpb="http://schemas.microsoft.com/office/spreadsheetml/2022/featurepropertybag" uri="{C7286773-470A-42A8-94C5-96B5CB345126}">
          <xfpb:xfComplement i="0"/>
        </ext>
      </extLst>
    </xf>
    <xf numFmtId="0" fontId="0" fillId="6" borderId="1" xfId="3" applyNumberFormat="1" applyFont="1" applyFill="1" applyBorder="1" applyAlignment="1" applyProtection="1">
      <alignment horizontal="center" vertical="center" readingOrder="2"/>
    </xf>
    <xf numFmtId="0" fontId="0" fillId="6" borderId="1" xfId="3" applyNumberFormat="1" applyFont="1" applyFill="1" applyBorder="1" applyAlignment="1" applyProtection="1">
      <alignment horizontal="center" vertical="center" wrapText="1" readingOrder="2"/>
    </xf>
    <xf numFmtId="167" fontId="3" fillId="6" borderId="1" xfId="3" applyNumberFormat="1" applyFont="1" applyFill="1" applyBorder="1" applyAlignment="1" applyProtection="1">
      <alignment horizontal="center" vertical="center" readingOrder="2"/>
    </xf>
    <xf numFmtId="164" fontId="3" fillId="6" borderId="1" xfId="3" applyNumberFormat="1" applyFont="1" applyFill="1" applyBorder="1" applyAlignment="1" applyProtection="1">
      <alignment horizontal="center" vertical="center" readingOrder="2"/>
    </xf>
    <xf numFmtId="0" fontId="0" fillId="11" borderId="1" xfId="3" applyNumberFormat="1" applyFont="1" applyFill="1" applyBorder="1" applyAlignment="1" applyProtection="1">
      <alignment horizontal="center" vertical="center" readingOrder="2"/>
      <extLst>
        <ext xmlns:xfpb="http://schemas.microsoft.com/office/spreadsheetml/2022/featurepropertybag" uri="{C7286773-470A-42A8-94C5-96B5CB345126}">
          <xfpb:xfComplement i="0"/>
        </ext>
      </extLst>
    </xf>
    <xf numFmtId="0" fontId="0" fillId="6" borderId="2" xfId="3" applyNumberFormat="1" applyFont="1" applyFill="1" applyBorder="1" applyAlignment="1" applyProtection="1">
      <alignment horizontal="center" vertical="center" readingOrder="2"/>
    </xf>
    <xf numFmtId="164" fontId="3" fillId="6" borderId="1" xfId="3" applyNumberFormat="1" applyFont="1" applyFill="1" applyBorder="1" applyAlignment="1" applyProtection="1">
      <alignment horizontal="center" vertical="center" readingOrder="2"/>
    </xf>
    <xf numFmtId="0" fontId="0" fillId="11" borderId="1" xfId="3" applyNumberFormat="1" applyFont="1" applyFill="1" applyBorder="1" applyAlignment="1" applyProtection="1">
      <alignment horizontal="center" vertical="center" readingOrder="2"/>
      <extLst>
        <ext xmlns:xfpb="http://schemas.microsoft.com/office/spreadsheetml/2022/featurepropertybag" uri="{C7286773-470A-42A8-94C5-96B5CB345126}">
          <xfpb:xfComplement i="0"/>
        </ext>
      </extLst>
    </xf>
    <xf numFmtId="0" fontId="0" fillId="6" borderId="1" xfId="3" applyNumberFormat="1" applyFont="1" applyFill="1" applyBorder="1" applyAlignment="1" applyProtection="1">
      <alignment horizontal="center" vertical="center" wrapText="1" readingOrder="2"/>
    </xf>
    <xf numFmtId="10" fontId="10" fillId="6" borderId="2" xfId="0" applyNumberFormat="1" applyFont="1" applyFill="1" applyBorder="1" applyAlignment="1">
      <alignment horizontal="center" vertical="center" wrapText="1"/>
    </xf>
    <xf numFmtId="49" fontId="0" fillId="6" borderId="1" xfId="3" applyNumberFormat="1" applyFont="1" applyFill="1" applyBorder="1" applyAlignment="1" applyProtection="1">
      <alignment horizontal="center" vertical="center" wrapText="1"/>
      <protection locked="0"/>
    </xf>
    <xf numFmtId="3" fontId="2" fillId="0" borderId="1" xfId="0" applyNumberFormat="1" applyFont="1" applyBorder="1" applyAlignment="1">
      <alignment horizontal="center" vertical="center"/>
    </xf>
    <xf numFmtId="164" fontId="3" fillId="6" borderId="1" xfId="3" applyNumberFormat="1" applyFont="1" applyFill="1" applyBorder="1" applyAlignment="1" applyProtection="1">
      <alignment horizontal="center" vertical="center"/>
    </xf>
    <xf numFmtId="9" fontId="2" fillId="6" borderId="1" xfId="0" applyNumberFormat="1" applyFont="1" applyFill="1" applyBorder="1" applyAlignment="1">
      <alignment horizontal="center" vertical="center" wrapText="1"/>
    </xf>
    <xf numFmtId="49" fontId="3" fillId="6" borderId="1" xfId="3" applyNumberFormat="1" applyFont="1" applyFill="1" applyBorder="1" applyAlignment="1" applyProtection="1">
      <alignment horizontal="center" vertical="center" wrapText="1"/>
      <protection locked="0"/>
    </xf>
    <xf numFmtId="49" fontId="24" fillId="6" borderId="1" xfId="3" applyNumberFormat="1" applyFont="1" applyFill="1" applyBorder="1" applyAlignment="1" applyProtection="1">
      <alignment horizontal="center" vertical="center" wrapText="1"/>
      <protection locked="0"/>
    </xf>
    <xf numFmtId="0" fontId="10" fillId="6" borderId="1" xfId="0" applyFont="1" applyFill="1" applyBorder="1" applyAlignment="1">
      <alignment horizontal="center" vertical="center"/>
    </xf>
    <xf numFmtId="0" fontId="10"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38" fontId="14" fillId="4" borderId="14" xfId="0" applyNumberFormat="1" applyFont="1" applyFill="1" applyBorder="1" applyAlignment="1">
      <alignment vertical="center" readingOrder="2"/>
    </xf>
    <xf numFmtId="3" fontId="2" fillId="0" borderId="25" xfId="0" applyNumberFormat="1" applyFont="1" applyBorder="1" applyAlignment="1">
      <alignment horizontal="center" vertical="center"/>
    </xf>
    <xf numFmtId="170" fontId="19" fillId="0" borderId="1" xfId="1" applyNumberFormat="1" applyFont="1" applyFill="1" applyBorder="1" applyAlignment="1" applyProtection="1">
      <alignment horizontal="center" vertical="center"/>
    </xf>
    <xf numFmtId="38" fontId="41" fillId="7" borderId="8" xfId="0" applyNumberFormat="1" applyFont="1" applyFill="1" applyBorder="1" applyAlignment="1">
      <alignment horizontal="center" vertical="center"/>
    </xf>
    <xf numFmtId="38" fontId="41" fillId="7" borderId="9" xfId="0" applyNumberFormat="1" applyFont="1" applyFill="1" applyBorder="1" applyAlignment="1">
      <alignment horizontal="center" vertical="center"/>
    </xf>
    <xf numFmtId="38" fontId="14" fillId="7" borderId="4" xfId="0" applyNumberFormat="1" applyFont="1" applyFill="1" applyBorder="1" applyAlignment="1">
      <alignment horizontal="center" vertical="center"/>
    </xf>
    <xf numFmtId="38" fontId="14" fillId="7" borderId="15" xfId="0" applyNumberFormat="1" applyFont="1" applyFill="1" applyBorder="1" applyAlignment="1">
      <alignment horizontal="center" vertical="center"/>
    </xf>
    <xf numFmtId="38" fontId="14" fillId="7" borderId="16" xfId="0" applyNumberFormat="1" applyFont="1" applyFill="1" applyBorder="1" applyAlignment="1">
      <alignment horizontal="center" vertical="center"/>
    </xf>
    <xf numFmtId="0" fontId="28" fillId="0" borderId="0" xfId="0" applyFont="1" applyAlignment="1">
      <alignment horizontal="center" vertical="center"/>
    </xf>
    <xf numFmtId="0" fontId="28" fillId="6" borderId="1" xfId="0" applyFont="1" applyFill="1" applyBorder="1" applyAlignment="1">
      <alignment horizontal="center" vertical="center" wrapText="1"/>
    </xf>
    <xf numFmtId="1" fontId="2" fillId="7" borderId="2" xfId="0" applyNumberFormat="1" applyFont="1" applyFill="1" applyBorder="1" applyAlignment="1" applyProtection="1">
      <alignment horizontal="center" vertical="center"/>
      <protection locked="0"/>
    </xf>
    <xf numFmtId="169" fontId="19" fillId="0" borderId="1" xfId="3" applyNumberFormat="1" applyFont="1" applyFill="1" applyBorder="1" applyAlignment="1" applyProtection="1">
      <alignment horizontal="center" vertical="center"/>
    </xf>
    <xf numFmtId="165" fontId="19" fillId="0" borderId="1" xfId="3" applyNumberFormat="1" applyFont="1" applyFill="1" applyBorder="1" applyAlignment="1" applyProtection="1">
      <alignment horizontal="center" vertical="center"/>
    </xf>
    <xf numFmtId="38" fontId="14" fillId="4" borderId="0" xfId="0" applyNumberFormat="1" applyFont="1" applyFill="1" applyAlignment="1">
      <alignment horizontal="center" vertical="center"/>
    </xf>
    <xf numFmtId="164" fontId="14" fillId="4" borderId="0" xfId="3" applyNumberFormat="1" applyFont="1" applyFill="1" applyBorder="1" applyAlignment="1" applyProtection="1">
      <alignment horizontal="center" vertical="center"/>
    </xf>
    <xf numFmtId="164" fontId="21" fillId="0" borderId="0" xfId="3" applyNumberFormat="1" applyFont="1" applyBorder="1" applyAlignment="1" applyProtection="1">
      <alignment horizontal="center" vertical="center"/>
    </xf>
    <xf numFmtId="38" fontId="14" fillId="4" borderId="0" xfId="0" applyNumberFormat="1" applyFont="1" applyFill="1" applyAlignment="1" applyProtection="1">
      <alignment horizontal="center" vertical="center"/>
      <protection locked="0"/>
    </xf>
    <xf numFmtId="164" fontId="21" fillId="0" borderId="0" xfId="3" applyNumberFormat="1" applyFont="1" applyBorder="1" applyAlignment="1">
      <alignment horizontal="center" vertical="center"/>
    </xf>
    <xf numFmtId="164" fontId="21" fillId="0" borderId="0" xfId="3" applyNumberFormat="1" applyFont="1" applyBorder="1" applyAlignment="1">
      <alignment vertical="center" readingOrder="2"/>
    </xf>
    <xf numFmtId="164" fontId="3" fillId="0" borderId="0" xfId="3" applyNumberFormat="1" applyFont="1" applyBorder="1" applyAlignment="1" applyProtection="1">
      <alignment vertical="center" readingOrder="2"/>
    </xf>
    <xf numFmtId="38" fontId="14" fillId="4" borderId="0" xfId="0" applyNumberFormat="1" applyFont="1" applyFill="1" applyAlignment="1">
      <alignment horizontal="right" vertical="center"/>
    </xf>
    <xf numFmtId="164" fontId="3" fillId="0" borderId="0" xfId="3" applyNumberFormat="1" applyFont="1" applyBorder="1" applyAlignment="1" applyProtection="1">
      <alignment vertical="center"/>
    </xf>
    <xf numFmtId="164" fontId="29" fillId="6" borderId="0" xfId="3" applyNumberFormat="1" applyFont="1" applyFill="1" applyBorder="1" applyAlignment="1" applyProtection="1">
      <alignment vertical="center"/>
    </xf>
    <xf numFmtId="164" fontId="3" fillId="0" borderId="0" xfId="3" applyNumberFormat="1" applyFont="1" applyBorder="1" applyAlignment="1" applyProtection="1">
      <alignment horizontal="right" vertical="center" readingOrder="2"/>
    </xf>
    <xf numFmtId="164" fontId="0" fillId="0" borderId="0" xfId="3" applyNumberFormat="1" applyFont="1" applyBorder="1" applyAlignment="1" applyProtection="1">
      <alignment horizontal="right" vertical="center"/>
    </xf>
    <xf numFmtId="38" fontId="14" fillId="7" borderId="0" xfId="0" applyNumberFormat="1" applyFont="1" applyFill="1" applyAlignment="1">
      <alignment vertical="center"/>
    </xf>
    <xf numFmtId="38" fontId="14" fillId="7" borderId="0" xfId="0" applyNumberFormat="1" applyFont="1" applyFill="1" applyAlignment="1">
      <alignment horizontal="right" vertical="center"/>
    </xf>
    <xf numFmtId="164" fontId="14" fillId="7" borderId="0" xfId="3" applyNumberFormat="1" applyFont="1" applyFill="1" applyBorder="1" applyAlignment="1" applyProtection="1">
      <alignment vertical="center"/>
    </xf>
    <xf numFmtId="164" fontId="3" fillId="6" borderId="0" xfId="3" applyNumberFormat="1" applyFont="1" applyFill="1" applyBorder="1" applyAlignment="1" applyProtection="1">
      <alignment vertical="center" readingOrder="2"/>
    </xf>
    <xf numFmtId="164" fontId="0" fillId="6" borderId="0" xfId="3" applyNumberFormat="1" applyFont="1" applyFill="1" applyBorder="1" applyAlignment="1" applyProtection="1">
      <alignment vertical="center"/>
    </xf>
    <xf numFmtId="164" fontId="14" fillId="6" borderId="2" xfId="3" applyNumberFormat="1" applyFont="1" applyFill="1" applyBorder="1" applyAlignment="1">
      <alignment horizontal="center" vertical="center" wrapText="1"/>
    </xf>
    <xf numFmtId="164" fontId="2" fillId="6" borderId="2" xfId="3" applyNumberFormat="1" applyFont="1" applyFill="1" applyBorder="1" applyAlignment="1" applyProtection="1">
      <alignment horizontal="center" vertical="center" wrapText="1"/>
    </xf>
    <xf numFmtId="164" fontId="21" fillId="6" borderId="2" xfId="3" applyNumberFormat="1" applyFont="1" applyFill="1" applyBorder="1" applyAlignment="1" applyProtection="1">
      <alignment horizontal="center" vertical="center" wrapText="1"/>
    </xf>
    <xf numFmtId="164" fontId="0" fillId="0" borderId="0" xfId="3" applyNumberFormat="1" applyFont="1" applyBorder="1" applyAlignment="1" applyProtection="1"/>
    <xf numFmtId="164" fontId="29" fillId="6" borderId="0" xfId="3" applyNumberFormat="1" applyFont="1" applyFill="1" applyAlignment="1" applyProtection="1">
      <alignment vertical="center"/>
    </xf>
    <xf numFmtId="164" fontId="29" fillId="6" borderId="0" xfId="3" applyNumberFormat="1" applyFont="1" applyFill="1" applyAlignment="1" applyProtection="1">
      <alignment horizontal="right" vertical="center" wrapText="1"/>
    </xf>
    <xf numFmtId="166" fontId="29" fillId="6" borderId="0" xfId="3" applyNumberFormat="1" applyFont="1" applyFill="1" applyAlignment="1" applyProtection="1">
      <alignment horizontal="right" vertical="center" wrapText="1"/>
    </xf>
    <xf numFmtId="164" fontId="29" fillId="6" borderId="0" xfId="3" applyNumberFormat="1" applyFont="1" applyFill="1" applyAlignment="1" applyProtection="1">
      <alignment horizontal="center" vertical="center" wrapText="1"/>
    </xf>
    <xf numFmtId="9" fontId="29" fillId="6" borderId="0" xfId="1" applyFont="1" applyFill="1" applyAlignment="1" applyProtection="1">
      <alignment horizontal="right" vertical="center" wrapText="1"/>
    </xf>
    <xf numFmtId="49" fontId="29" fillId="6" borderId="0" xfId="3" applyNumberFormat="1" applyFont="1" applyFill="1" applyAlignment="1" applyProtection="1">
      <alignment horizontal="right" vertical="center" wrapText="1"/>
    </xf>
    <xf numFmtId="164" fontId="29" fillId="6" borderId="0" xfId="3" applyNumberFormat="1" applyFont="1" applyFill="1" applyBorder="1" applyAlignment="1" applyProtection="1">
      <alignment horizontal="center" vertical="center" wrapText="1"/>
    </xf>
    <xf numFmtId="49" fontId="30" fillId="6" borderId="0" xfId="3" applyNumberFormat="1" applyFont="1" applyFill="1" applyAlignment="1" applyProtection="1">
      <alignment horizontal="right" vertical="center" wrapText="1"/>
    </xf>
    <xf numFmtId="166" fontId="21" fillId="6" borderId="26" xfId="3" applyNumberFormat="1" applyFont="1" applyFill="1" applyBorder="1" applyAlignment="1" applyProtection="1">
      <alignment horizontal="right" vertical="center"/>
    </xf>
    <xf numFmtId="164" fontId="21" fillId="6" borderId="0" xfId="3" applyNumberFormat="1" applyFont="1" applyFill="1" applyAlignment="1" applyProtection="1">
      <alignment vertical="center"/>
    </xf>
    <xf numFmtId="164" fontId="21" fillId="6" borderId="0" xfId="3" applyNumberFormat="1" applyFont="1" applyFill="1" applyAlignment="1" applyProtection="1">
      <alignment horizontal="center" vertical="center" wrapText="1"/>
    </xf>
    <xf numFmtId="164" fontId="20" fillId="6" borderId="0" xfId="3" applyNumberFormat="1" applyFont="1" applyFill="1" applyBorder="1" applyAlignment="1" applyProtection="1">
      <alignment horizontal="center" vertical="center" wrapText="1"/>
    </xf>
    <xf numFmtId="164" fontId="10" fillId="6" borderId="1" xfId="0" applyNumberFormat="1" applyFont="1" applyFill="1" applyBorder="1" applyAlignment="1">
      <alignment horizontal="center" vertical="center" wrapText="1"/>
    </xf>
    <xf numFmtId="164" fontId="10" fillId="6" borderId="1" xfId="0" applyNumberFormat="1" applyFont="1" applyFill="1" applyBorder="1" applyAlignment="1">
      <alignment horizontal="center" vertical="center" wrapText="1" readingOrder="2"/>
    </xf>
    <xf numFmtId="166" fontId="10" fillId="6" borderId="1" xfId="0" applyNumberFormat="1" applyFont="1" applyFill="1" applyBorder="1" applyAlignment="1">
      <alignment horizontal="center" vertical="center" wrapText="1" readingOrder="2"/>
    </xf>
    <xf numFmtId="164" fontId="20" fillId="6" borderId="27" xfId="3" applyNumberFormat="1" applyFont="1" applyFill="1" applyBorder="1" applyAlignment="1" applyProtection="1">
      <alignment horizontal="center" vertical="center" wrapText="1"/>
    </xf>
    <xf numFmtId="0" fontId="10" fillId="6" borderId="1" xfId="0" applyFont="1" applyFill="1" applyBorder="1" applyAlignment="1">
      <alignment horizontal="center" vertical="center" wrapText="1" readingOrder="2"/>
    </xf>
    <xf numFmtId="9" fontId="10" fillId="6" borderId="1" xfId="1" applyFont="1" applyFill="1" applyBorder="1" applyAlignment="1" applyProtection="1">
      <alignment horizontal="center" vertical="center" wrapText="1"/>
    </xf>
    <xf numFmtId="49" fontId="10" fillId="6" borderId="1" xfId="0" applyNumberFormat="1" applyFont="1" applyFill="1" applyBorder="1" applyAlignment="1">
      <alignment horizontal="center" vertical="center" wrapText="1"/>
    </xf>
    <xf numFmtId="164" fontId="21" fillId="6" borderId="1" xfId="3" applyNumberFormat="1" applyFont="1" applyFill="1" applyBorder="1" applyAlignment="1" applyProtection="1">
      <alignment horizontal="center" vertical="center" wrapText="1"/>
    </xf>
    <xf numFmtId="164" fontId="21" fillId="6" borderId="27" xfId="3" applyNumberFormat="1" applyFont="1" applyFill="1" applyBorder="1" applyAlignment="1" applyProtection="1">
      <alignment horizontal="center" vertical="center" wrapText="1"/>
    </xf>
    <xf numFmtId="9" fontId="2" fillId="6" borderId="1" xfId="0" applyNumberFormat="1" applyFont="1" applyFill="1" applyBorder="1" applyAlignment="1">
      <alignment horizontal="center" vertical="center" wrapText="1"/>
    </xf>
    <xf numFmtId="164" fontId="21" fillId="6" borderId="0" xfId="3" applyNumberFormat="1" applyFont="1" applyFill="1" applyBorder="1" applyAlignment="1" applyProtection="1">
      <alignment horizontal="center" vertical="center" wrapText="1"/>
    </xf>
    <xf numFmtId="166" fontId="21" fillId="6" borderId="1" xfId="3" applyNumberFormat="1" applyFont="1" applyFill="1" applyBorder="1" applyAlignment="1" applyProtection="1">
      <alignment horizontal="center" vertical="center" wrapText="1"/>
      <protection locked="0"/>
    </xf>
    <xf numFmtId="49" fontId="25" fillId="6" borderId="1" xfId="3" applyNumberFormat="1" applyFont="1" applyFill="1" applyBorder="1" applyAlignment="1" applyProtection="1">
      <alignment horizontal="center" vertical="center" wrapText="1"/>
      <protection locked="0"/>
    </xf>
    <xf numFmtId="164" fontId="20" fillId="6" borderId="1" xfId="3" applyNumberFormat="1" applyFont="1" applyFill="1" applyBorder="1" applyAlignment="1" applyProtection="1">
      <alignment horizontal="center" vertical="center" wrapText="1"/>
    </xf>
    <xf numFmtId="164" fontId="21" fillId="6" borderId="0" xfId="3" applyNumberFormat="1" applyFont="1" applyFill="1" applyAlignment="1" applyProtection="1">
      <alignment horizontal="right" vertical="center" wrapText="1"/>
    </xf>
    <xf numFmtId="166" fontId="21" fillId="6" borderId="0" xfId="3" applyNumberFormat="1" applyFont="1" applyFill="1" applyAlignment="1" applyProtection="1">
      <alignment horizontal="right" vertical="center" wrapText="1"/>
    </xf>
    <xf numFmtId="9" fontId="21" fillId="6" borderId="0" xfId="1" applyFont="1" applyFill="1" applyAlignment="1" applyProtection="1">
      <alignment horizontal="right" vertical="center" wrapText="1"/>
    </xf>
    <xf numFmtId="49" fontId="21" fillId="6" borderId="0" xfId="3" applyNumberFormat="1" applyFont="1" applyFill="1" applyAlignment="1" applyProtection="1">
      <alignment horizontal="right" vertical="center" wrapText="1"/>
    </xf>
    <xf numFmtId="49" fontId="25" fillId="6" borderId="0" xfId="3" applyNumberFormat="1" applyFont="1" applyFill="1" applyAlignment="1" applyProtection="1">
      <alignment horizontal="right" vertical="center" wrapText="1"/>
    </xf>
    <xf numFmtId="0" fontId="2" fillId="0" borderId="1" xfId="0" applyFont="1" applyBorder="1" applyAlignment="1">
      <alignment horizontal="center" vertical="center" wrapText="1"/>
    </xf>
    <xf numFmtId="0" fontId="2" fillId="6" borderId="1" xfId="0" applyFont="1" applyFill="1" applyBorder="1" applyAlignment="1">
      <alignment horizontal="center" vertical="center" wrapText="1"/>
    </xf>
    <xf numFmtId="164" fontId="2" fillId="6" borderId="1" xfId="3" applyNumberFormat="1" applyFont="1" applyFill="1" applyBorder="1" applyAlignment="1" applyProtection="1">
      <alignment horizontal="center" vertical="center" wrapText="1"/>
    </xf>
    <xf numFmtId="0" fontId="9" fillId="12" borderId="28" xfId="0" applyFont="1" applyFill="1" applyBorder="1" applyAlignment="1">
      <alignment horizontal="center" vertical="center" wrapText="1"/>
    </xf>
    <xf numFmtId="0" fontId="23" fillId="13" borderId="29" xfId="0" applyFont="1" applyFill="1" applyBorder="1" applyAlignment="1">
      <alignment horizontal="center" vertical="center" wrapText="1"/>
    </xf>
    <xf numFmtId="164" fontId="0" fillId="6" borderId="1" xfId="3" applyNumberFormat="1" applyFont="1" applyFill="1" applyBorder="1" applyAlignment="1" applyProtection="1">
      <alignment horizontal="center" vertical="center" readingOrder="2"/>
    </xf>
    <xf numFmtId="0" fontId="0" fillId="11" borderId="1" xfId="3" applyNumberFormat="1" applyFont="1" applyFill="1" applyBorder="1" applyAlignment="1" applyProtection="1">
      <alignment horizontal="center" vertical="center" readingOrder="2"/>
      <extLst>
        <ext xmlns:xfpb="http://schemas.microsoft.com/office/spreadsheetml/2022/featurepropertybag" uri="{C7286773-470A-42A8-94C5-96B5CB345126}">
          <xfpb:xfComplement i="0"/>
        </ext>
      </extLst>
    </xf>
    <xf numFmtId="0" fontId="0" fillId="6" borderId="1" xfId="3" applyNumberFormat="1" applyFont="1" applyFill="1" applyBorder="1" applyAlignment="1" applyProtection="1">
      <alignment horizontal="center" vertical="center" readingOrder="2"/>
    </xf>
    <xf numFmtId="0" fontId="0" fillId="6" borderId="2" xfId="3" applyNumberFormat="1" applyFont="1" applyFill="1" applyBorder="1" applyAlignment="1" applyProtection="1">
      <alignment horizontal="center" vertical="center" wrapText="1"/>
    </xf>
    <xf numFmtId="167" fontId="39" fillId="6" borderId="2" xfId="0" applyNumberFormat="1" applyFont="1" applyFill="1" applyBorder="1" applyAlignment="1">
      <alignment horizontal="center" vertical="center"/>
    </xf>
    <xf numFmtId="164" fontId="3" fillId="6" borderId="2" xfId="3" applyNumberFormat="1" applyFont="1" applyFill="1" applyBorder="1" applyAlignment="1" applyProtection="1">
      <alignment horizontal="center" vertical="center" readingOrder="2"/>
    </xf>
    <xf numFmtId="49" fontId="10" fillId="8" borderId="19" xfId="0" applyNumberFormat="1" applyFont="1" applyFill="1" applyBorder="1" applyAlignment="1" applyProtection="1">
      <alignment horizontal="center" vertical="center" wrapText="1" readingOrder="2"/>
      <protection locked="0"/>
    </xf>
    <xf numFmtId="0" fontId="53" fillId="0" borderId="0" xfId="3" applyNumberFormat="1" applyFont="1" applyAlignment="1" applyProtection="1">
      <alignment vertical="center" readingOrder="2"/>
    </xf>
    <xf numFmtId="0" fontId="53" fillId="6" borderId="1" xfId="3" applyNumberFormat="1" applyFont="1" applyFill="1" applyBorder="1" applyAlignment="1" applyProtection="1">
      <alignment horizontal="center" vertical="center" readingOrder="2"/>
    </xf>
    <xf numFmtId="0" fontId="53" fillId="6" borderId="30" xfId="3" applyNumberFormat="1" applyFont="1" applyFill="1" applyBorder="1" applyAlignment="1" applyProtection="1">
      <alignment horizontal="center" vertical="center" readingOrder="2"/>
    </xf>
    <xf numFmtId="0" fontId="53" fillId="6" borderId="31" xfId="3" applyNumberFormat="1" applyFont="1" applyFill="1" applyBorder="1" applyAlignment="1" applyProtection="1">
      <alignment horizontal="center" vertical="center" readingOrder="2"/>
    </xf>
    <xf numFmtId="0" fontId="19" fillId="0" borderId="0" xfId="3" applyNumberFormat="1" applyFont="1" applyAlignment="1" applyProtection="1">
      <alignment vertical="center" wrapText="1"/>
    </xf>
    <xf numFmtId="0" fontId="27" fillId="0" borderId="0" xfId="3" applyNumberFormat="1" applyFont="1" applyAlignment="1" applyProtection="1">
      <alignment vertical="center" wrapText="1"/>
    </xf>
    <xf numFmtId="0" fontId="5" fillId="6" borderId="32" xfId="3" applyNumberFormat="1" applyFont="1" applyFill="1" applyBorder="1" applyAlignment="1" applyProtection="1">
      <alignment vertical="center" wrapText="1" readingOrder="2"/>
    </xf>
    <xf numFmtId="0" fontId="0" fillId="6" borderId="29" xfId="3" applyNumberFormat="1" applyFont="1" applyFill="1" applyBorder="1" applyAlignment="1" applyProtection="1">
      <alignment vertical="center" wrapText="1" readingOrder="2"/>
    </xf>
    <xf numFmtId="164" fontId="20" fillId="6" borderId="0" xfId="3" applyNumberFormat="1" applyFont="1" applyFill="1" applyAlignment="1" applyProtection="1">
      <alignment horizontal="center" vertical="center" wrapText="1"/>
    </xf>
    <xf numFmtId="0" fontId="0" fillId="6" borderId="2" xfId="3" applyNumberFormat="1" applyFont="1" applyFill="1" applyBorder="1" applyAlignment="1" applyProtection="1">
      <alignment horizontal="center" vertical="center" readingOrder="2"/>
      <extLst>
        <ext xmlns:xfpb="http://schemas.microsoft.com/office/spreadsheetml/2022/featurepropertybag" uri="{C7286773-470A-42A8-94C5-96B5CB345126}">
          <xfpb:xfComplement i="0"/>
        </ext>
      </extLst>
    </xf>
    <xf numFmtId="0" fontId="0" fillId="6" borderId="2" xfId="3" applyNumberFormat="1" applyFont="1" applyFill="1" applyBorder="1" applyAlignment="1" applyProtection="1">
      <alignment horizontal="center" vertical="center" readingOrder="2"/>
    </xf>
    <xf numFmtId="9" fontId="23" fillId="6" borderId="0" xfId="1" applyFont="1" applyFill="1" applyAlignment="1" applyProtection="1">
      <alignment horizontal="right" vertical="center" wrapText="1"/>
    </xf>
    <xf numFmtId="49" fontId="23" fillId="6" borderId="0" xfId="3" applyNumberFormat="1" applyFont="1" applyFill="1" applyAlignment="1" applyProtection="1">
      <alignment horizontal="right" vertical="center" wrapText="1"/>
    </xf>
    <xf numFmtId="49" fontId="45" fillId="6" borderId="0" xfId="3" applyNumberFormat="1" applyFont="1" applyFill="1" applyAlignment="1" applyProtection="1">
      <alignment horizontal="right" vertical="center" wrapText="1"/>
    </xf>
    <xf numFmtId="166" fontId="23" fillId="6" borderId="1" xfId="3" applyNumberFormat="1" applyFont="1" applyFill="1" applyBorder="1" applyAlignment="1" applyProtection="1">
      <alignment horizontal="right" vertical="center" wrapText="1"/>
    </xf>
    <xf numFmtId="164" fontId="23" fillId="6" borderId="1" xfId="3" applyNumberFormat="1" applyFont="1" applyFill="1" applyBorder="1" applyAlignment="1" applyProtection="1">
      <alignment horizontal="right" vertical="center" wrapText="1"/>
    </xf>
    <xf numFmtId="164" fontId="8" fillId="6" borderId="0" xfId="3" applyNumberFormat="1" applyFont="1" applyFill="1" applyAlignment="1" applyProtection="1">
      <alignment horizontal="right" vertical="center" readingOrder="2"/>
    </xf>
    <xf numFmtId="164" fontId="3" fillId="6" borderId="0" xfId="3" applyNumberFormat="1" applyFont="1" applyFill="1" applyAlignment="1" applyProtection="1">
      <alignment horizontal="right" vertical="center" wrapText="1" readingOrder="2"/>
    </xf>
    <xf numFmtId="164" fontId="0" fillId="6" borderId="0" xfId="3" applyNumberFormat="1" applyFont="1" applyFill="1" applyAlignment="1" applyProtection="1">
      <alignment horizontal="right"/>
    </xf>
    <xf numFmtId="164" fontId="10" fillId="6" borderId="1" xfId="3" applyNumberFormat="1" applyFont="1" applyFill="1" applyBorder="1" applyAlignment="1">
      <alignment horizontal="center" vertical="center" wrapText="1"/>
    </xf>
    <xf numFmtId="38" fontId="9" fillId="6" borderId="1" xfId="0" applyNumberFormat="1" applyFont="1" applyFill="1" applyBorder="1" applyAlignment="1">
      <alignment horizontal="center" vertical="center" wrapText="1"/>
    </xf>
    <xf numFmtId="38" fontId="9" fillId="13" borderId="1" xfId="0" applyNumberFormat="1" applyFont="1" applyFill="1" applyBorder="1" applyAlignment="1">
      <alignment horizontal="center" vertical="center" wrapText="1"/>
    </xf>
    <xf numFmtId="0" fontId="9" fillId="13" borderId="29" xfId="0" applyFont="1" applyFill="1" applyBorder="1" applyAlignment="1">
      <alignment vertical="center"/>
    </xf>
    <xf numFmtId="0" fontId="9" fillId="13" borderId="28" xfId="0" applyFont="1" applyFill="1" applyBorder="1" applyAlignment="1">
      <alignment vertical="center"/>
    </xf>
    <xf numFmtId="0" fontId="9" fillId="13" borderId="30" xfId="0" applyFont="1" applyFill="1" applyBorder="1" applyAlignment="1">
      <alignment vertical="center"/>
    </xf>
    <xf numFmtId="38" fontId="9" fillId="13" borderId="30" xfId="0" applyNumberFormat="1" applyFont="1" applyFill="1" applyBorder="1" applyAlignment="1">
      <alignment horizontal="center" vertical="center" wrapText="1"/>
    </xf>
    <xf numFmtId="0" fontId="58" fillId="0" borderId="0" xfId="0" applyFont="1" applyAlignment="1">
      <alignment horizontal="center"/>
    </xf>
    <xf numFmtId="164" fontId="42" fillId="0" borderId="0" xfId="3" applyNumberFormat="1" applyFont="1" applyAlignment="1" applyProtection="1">
      <alignment horizontal="center" vertical="center"/>
      <protection locked="0"/>
    </xf>
    <xf numFmtId="0" fontId="23" fillId="13" borderId="32" xfId="0" applyFont="1" applyFill="1" applyBorder="1" applyAlignment="1">
      <alignment horizontal="center" vertical="center" wrapText="1"/>
    </xf>
    <xf numFmtId="3" fontId="23" fillId="0" borderId="1" xfId="0" applyNumberFormat="1" applyFont="1" applyBorder="1" applyAlignment="1">
      <alignment horizontal="center" vertical="center" wrapText="1"/>
    </xf>
    <xf numFmtId="164" fontId="43" fillId="0" borderId="0" xfId="3" applyNumberFormat="1" applyFont="1" applyAlignment="1">
      <alignment horizontal="center" vertical="center"/>
    </xf>
    <xf numFmtId="164" fontId="23" fillId="0" borderId="0" xfId="3" applyNumberFormat="1" applyFont="1" applyAlignment="1" applyProtection="1">
      <alignment horizontal="center" vertical="center"/>
    </xf>
    <xf numFmtId="0" fontId="23" fillId="0" borderId="0" xfId="0" applyFont="1" applyAlignment="1">
      <alignment horizontal="center"/>
    </xf>
    <xf numFmtId="164" fontId="23" fillId="0" borderId="1" xfId="3" applyNumberFormat="1" applyFont="1" applyBorder="1" applyAlignment="1" applyProtection="1">
      <alignment horizontal="center" vertical="center" wrapText="1"/>
    </xf>
    <xf numFmtId="164" fontId="31" fillId="0" borderId="0" xfId="3" applyNumberFormat="1" applyFont="1" applyAlignment="1" applyProtection="1">
      <alignment horizontal="center" vertical="center" wrapText="1" readingOrder="2"/>
    </xf>
    <xf numFmtId="164" fontId="31" fillId="0" borderId="0" xfId="3" applyNumberFormat="1" applyFont="1" applyAlignment="1" applyProtection="1">
      <alignment horizontal="center" vertical="center" readingOrder="2"/>
    </xf>
    <xf numFmtId="1" fontId="31" fillId="0" borderId="0" xfId="3" applyNumberFormat="1" applyFont="1" applyAlignment="1" applyProtection="1">
      <alignment horizontal="center" vertical="center" readingOrder="2"/>
    </xf>
    <xf numFmtId="164" fontId="31" fillId="6" borderId="0" xfId="3" applyNumberFormat="1" applyFont="1" applyFill="1" applyAlignment="1" applyProtection="1">
      <alignment horizontal="center" vertical="center" readingOrder="2"/>
    </xf>
    <xf numFmtId="0" fontId="9" fillId="12" borderId="32" xfId="0" applyFont="1" applyFill="1" applyBorder="1" applyAlignment="1">
      <alignment horizontal="center" vertical="center" wrapText="1"/>
    </xf>
    <xf numFmtId="3" fontId="9" fillId="0" borderId="1" xfId="0" applyNumberFormat="1" applyFont="1" applyBorder="1" applyAlignment="1">
      <alignment horizontal="center" vertical="center" wrapText="1"/>
    </xf>
    <xf numFmtId="164" fontId="58" fillId="0" borderId="0" xfId="3" applyNumberFormat="1" applyFont="1" applyAlignment="1" applyProtection="1">
      <alignment horizontal="center" vertical="center" wrapText="1"/>
    </xf>
    <xf numFmtId="164" fontId="58" fillId="0" borderId="0" xfId="3" applyNumberFormat="1" applyFont="1" applyAlignment="1" applyProtection="1">
      <alignment horizontal="center" vertical="center"/>
    </xf>
    <xf numFmtId="0" fontId="9" fillId="12" borderId="1" xfId="0" applyFont="1" applyFill="1" applyBorder="1" applyAlignment="1">
      <alignment horizontal="center" vertical="center" wrapText="1"/>
    </xf>
    <xf numFmtId="0" fontId="18" fillId="13" borderId="32" xfId="0" applyFont="1" applyFill="1" applyBorder="1" applyAlignment="1">
      <alignment horizontal="center" vertical="center" wrapText="1"/>
    </xf>
    <xf numFmtId="3" fontId="18" fillId="0" borderId="1" xfId="0" applyNumberFormat="1" applyFont="1" applyBorder="1" applyAlignment="1">
      <alignment horizontal="center" vertical="center" wrapText="1"/>
    </xf>
    <xf numFmtId="0" fontId="18" fillId="13" borderId="1" xfId="0" applyFont="1" applyFill="1" applyBorder="1" applyAlignment="1">
      <alignment horizontal="center" vertical="center" wrapText="1"/>
    </xf>
    <xf numFmtId="164" fontId="59" fillId="0" borderId="0" xfId="3" applyNumberFormat="1" applyFont="1" applyAlignment="1" applyProtection="1">
      <alignment horizontal="center"/>
    </xf>
    <xf numFmtId="0" fontId="9" fillId="13" borderId="32" xfId="0" applyFont="1" applyFill="1" applyBorder="1" applyAlignment="1">
      <alignment horizontal="center" vertical="center" wrapText="1"/>
    </xf>
    <xf numFmtId="0" fontId="9" fillId="13" borderId="28" xfId="0" applyFont="1" applyFill="1" applyBorder="1" applyAlignment="1">
      <alignment horizontal="center" vertical="center" wrapText="1"/>
    </xf>
    <xf numFmtId="38" fontId="9" fillId="6" borderId="1" xfId="0" applyNumberFormat="1" applyFont="1" applyFill="1" applyBorder="1" applyAlignment="1">
      <alignment horizontal="center" vertical="center" wrapText="1"/>
    </xf>
    <xf numFmtId="165" fontId="9" fillId="6" borderId="1" xfId="0" applyNumberFormat="1" applyFont="1" applyFill="1" applyBorder="1" applyAlignment="1">
      <alignment horizontal="center" vertical="center" wrapText="1"/>
    </xf>
    <xf numFmtId="0" fontId="9" fillId="0" borderId="0" xfId="0" applyFont="1" applyAlignment="1">
      <alignment horizontal="center" vertical="center"/>
    </xf>
    <xf numFmtId="0" fontId="9" fillId="14" borderId="28" xfId="0" applyFont="1" applyFill="1" applyBorder="1" applyAlignment="1">
      <alignment vertical="center" wrapText="1"/>
    </xf>
    <xf numFmtId="0" fontId="9" fillId="14" borderId="1" xfId="0" applyFont="1" applyFill="1" applyBorder="1" applyAlignment="1">
      <alignment vertical="center" wrapText="1"/>
    </xf>
    <xf numFmtId="164" fontId="3" fillId="4" borderId="1" xfId="3" applyNumberFormat="1" applyFont="1" applyFill="1" applyBorder="1" applyAlignment="1" applyProtection="1">
      <alignment horizontal="center" vertical="center" readingOrder="2"/>
      <protection locked="0"/>
    </xf>
    <xf numFmtId="164" fontId="1" fillId="10" borderId="29" xfId="11" applyNumberFormat="1" applyFill="1" applyBorder="1" applyAlignment="1">
      <alignment horizontal="center" vertical="center" wrapText="1" readingOrder="2"/>
    </xf>
    <xf numFmtId="164" fontId="56" fillId="6" borderId="0" xfId="3" applyNumberFormat="1" applyFont="1" applyFill="1" applyAlignment="1" applyProtection="1">
      <alignment horizontal="center" vertical="center" wrapText="1"/>
    </xf>
    <xf numFmtId="165" fontId="9" fillId="0" borderId="1" xfId="4" applyNumberFormat="1" applyFont="1" applyFill="1" applyBorder="1" applyAlignment="1" applyProtection="1">
      <alignment horizontal="center" vertical="center"/>
    </xf>
    <xf numFmtId="9" fontId="9" fillId="0" borderId="1" xfId="1" applyFont="1" applyBorder="1" applyAlignment="1" applyProtection="1">
      <alignment horizontal="center" vertical="center"/>
    </xf>
    <xf numFmtId="168" fontId="9" fillId="0" borderId="1" xfId="2" applyNumberFormat="1" applyFont="1" applyFill="1" applyBorder="1" applyAlignment="1" applyProtection="1">
      <alignment horizontal="center" vertical="center"/>
    </xf>
    <xf numFmtId="0" fontId="10" fillId="6" borderId="2" xfId="0" applyFont="1" applyFill="1" applyBorder="1" applyAlignment="1" applyProtection="1">
      <alignment horizontal="center" vertical="center" wrapText="1" readingOrder="2"/>
      <protection locked="0"/>
    </xf>
    <xf numFmtId="0" fontId="10" fillId="6" borderId="1" xfId="0" applyFont="1" applyFill="1" applyBorder="1" applyAlignment="1" applyProtection="1">
      <alignment horizontal="center" vertical="center" wrapText="1"/>
      <protection locked="0"/>
    </xf>
    <xf numFmtId="38" fontId="10" fillId="6" borderId="1" xfId="0" applyNumberFormat="1" applyFont="1" applyFill="1" applyBorder="1" applyAlignment="1" applyProtection="1">
      <alignment horizontal="center" vertical="center" wrapText="1"/>
      <protection locked="0"/>
    </xf>
    <xf numFmtId="0" fontId="2" fillId="0" borderId="0" xfId="6" applyFont="1" applyAlignment="1">
      <alignment horizontal="right"/>
    </xf>
    <xf numFmtId="0" fontId="2" fillId="0" borderId="0" xfId="6" applyFont="1" applyAlignment="1">
      <alignment horizontal="center" vertical="center"/>
    </xf>
    <xf numFmtId="0" fontId="2" fillId="0" borderId="0" xfId="6" applyFont="1" applyAlignment="1">
      <alignment horizontal="center"/>
    </xf>
    <xf numFmtId="0" fontId="9" fillId="0" borderId="1" xfId="6" applyFont="1" applyBorder="1" applyAlignment="1">
      <alignment horizontal="center" vertical="center" wrapText="1"/>
    </xf>
    <xf numFmtId="3" fontId="9" fillId="0" borderId="1" xfId="6" applyNumberFormat="1" applyFont="1" applyBorder="1" applyAlignment="1">
      <alignment horizontal="center" vertical="center" wrapText="1"/>
    </xf>
    <xf numFmtId="0" fontId="9" fillId="0" borderId="29" xfId="6" applyFont="1" applyBorder="1" applyAlignment="1">
      <alignment horizontal="center" vertical="center" wrapText="1"/>
    </xf>
    <xf numFmtId="0" fontId="23" fillId="0" borderId="1" xfId="6" applyFont="1" applyBorder="1" applyAlignment="1">
      <alignment horizontal="center" vertical="center" wrapText="1"/>
    </xf>
    <xf numFmtId="0" fontId="0" fillId="0" borderId="0" xfId="0" applyAlignment="1">
      <alignment horizontal="center" vertical="center"/>
    </xf>
    <xf numFmtId="0" fontId="9" fillId="0" borderId="0" xfId="6" applyFont="1" applyAlignment="1">
      <alignment horizontal="center" vertical="center"/>
    </xf>
    <xf numFmtId="0" fontId="32" fillId="0" borderId="0" xfId="6" applyFont="1" applyAlignment="1">
      <alignment horizontal="center" vertical="center"/>
    </xf>
    <xf numFmtId="0" fontId="32" fillId="0" borderId="0" xfId="6" applyFont="1" applyAlignment="1">
      <alignment horizontal="center"/>
    </xf>
    <xf numFmtId="0" fontId="9" fillId="0" borderId="1" xfId="0" applyFont="1" applyBorder="1" applyAlignment="1">
      <alignment horizontal="center" vertical="center"/>
    </xf>
    <xf numFmtId="14" fontId="9" fillId="0" borderId="1" xfId="6" applyNumberFormat="1" applyFont="1" applyBorder="1" applyAlignment="1">
      <alignment horizontal="center" vertical="center" wrapText="1"/>
    </xf>
    <xf numFmtId="0" fontId="9" fillId="0" borderId="0" xfId="6" applyFont="1" applyAlignment="1">
      <alignment horizontal="center" vertical="center" wrapText="1"/>
    </xf>
    <xf numFmtId="0" fontId="33" fillId="0" borderId="0" xfId="6" applyFont="1" applyAlignment="1">
      <alignment horizontal="center"/>
    </xf>
    <xf numFmtId="49" fontId="9" fillId="0" borderId="1" xfId="0" applyNumberFormat="1" applyFont="1" applyBorder="1" applyAlignment="1">
      <alignment horizontal="center" vertical="center"/>
    </xf>
    <xf numFmtId="0" fontId="2" fillId="0" borderId="1" xfId="6" applyFont="1" applyBorder="1" applyAlignment="1">
      <alignment horizontal="center" vertical="center"/>
    </xf>
    <xf numFmtId="49" fontId="2" fillId="0" borderId="1" xfId="6" applyNumberFormat="1" applyFont="1" applyBorder="1" applyAlignment="1">
      <alignment horizontal="center" vertical="center"/>
    </xf>
    <xf numFmtId="0" fontId="33" fillId="0" borderId="0" xfId="6" applyFont="1" applyAlignment="1">
      <alignment horizontal="center" vertical="center"/>
    </xf>
    <xf numFmtId="0" fontId="9" fillId="12" borderId="1" xfId="6" applyFont="1" applyFill="1" applyBorder="1" applyAlignment="1">
      <alignment horizontal="center" vertical="center"/>
    </xf>
    <xf numFmtId="0" fontId="9" fillId="13" borderId="1" xfId="6" applyFont="1" applyFill="1" applyBorder="1" applyAlignment="1">
      <alignment horizontal="center" vertical="center" wrapText="1"/>
    </xf>
    <xf numFmtId="0" fontId="9" fillId="0" borderId="1" xfId="6" applyFont="1" applyBorder="1" applyAlignment="1">
      <alignment horizontal="center" vertical="center"/>
    </xf>
    <xf numFmtId="0" fontId="0" fillId="0" borderId="1" xfId="0" applyBorder="1" applyAlignment="1">
      <alignment horizontal="center" vertical="center"/>
    </xf>
    <xf numFmtId="0" fontId="11" fillId="0" borderId="0" xfId="6" applyFont="1" applyAlignment="1">
      <alignment horizontal="right"/>
    </xf>
    <xf numFmtId="49" fontId="9" fillId="0" borderId="1" xfId="6" applyNumberFormat="1" applyFont="1" applyBorder="1" applyAlignment="1">
      <alignment horizontal="center" vertical="center"/>
    </xf>
    <xf numFmtId="0" fontId="11" fillId="0" borderId="0" xfId="6" applyFont="1" applyAlignment="1">
      <alignment horizontal="center"/>
    </xf>
    <xf numFmtId="0" fontId="57" fillId="0" borderId="0" xfId="0" applyFont="1"/>
    <xf numFmtId="0" fontId="23" fillId="0" borderId="1" xfId="6" applyFont="1" applyBorder="1" applyAlignment="1">
      <alignment horizontal="center" vertical="center"/>
    </xf>
    <xf numFmtId="0" fontId="19" fillId="0" borderId="0" xfId="0" applyFont="1" applyAlignment="1">
      <alignment horizontal="right"/>
    </xf>
    <xf numFmtId="0" fontId="54" fillId="0" borderId="0" xfId="0" applyFont="1" applyAlignment="1">
      <alignment horizontal="right"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170" fontId="19" fillId="0" borderId="1" xfId="0" applyNumberFormat="1" applyFont="1" applyBorder="1" applyAlignment="1">
      <alignment horizontal="center" vertical="center"/>
    </xf>
    <xf numFmtId="165" fontId="19" fillId="0" borderId="0" xfId="0" applyNumberFormat="1" applyFont="1" applyAlignment="1">
      <alignment horizontal="center" vertical="center"/>
    </xf>
    <xf numFmtId="3" fontId="9" fillId="0" borderId="1" xfId="6" applyNumberFormat="1" applyFont="1" applyBorder="1" applyAlignment="1" applyProtection="1">
      <alignment horizontal="center" vertical="center" wrapText="1"/>
      <protection locked="0"/>
    </xf>
    <xf numFmtId="171" fontId="10" fillId="7" borderId="22" xfId="0" applyNumberFormat="1" applyFont="1" applyFill="1" applyBorder="1" applyAlignment="1" applyProtection="1">
      <alignment horizontal="center" vertical="center" wrapText="1" readingOrder="2"/>
      <protection locked="0"/>
    </xf>
    <xf numFmtId="0" fontId="0" fillId="4" borderId="0" xfId="0" applyFill="1" applyProtection="1">
      <protection locked="0"/>
    </xf>
    <xf numFmtId="1" fontId="40" fillId="4" borderId="19" xfId="0" applyNumberFormat="1" applyFont="1" applyFill="1" applyBorder="1" applyAlignment="1">
      <alignment horizontal="center" vertical="center"/>
    </xf>
    <xf numFmtId="38" fontId="41" fillId="7" borderId="0" xfId="0" applyNumberFormat="1" applyFont="1" applyFill="1" applyAlignment="1">
      <alignment horizontal="center" vertical="center"/>
    </xf>
    <xf numFmtId="38" fontId="14" fillId="7" borderId="0" xfId="0" applyNumberFormat="1" applyFont="1" applyFill="1" applyAlignment="1">
      <alignment horizontal="center" vertical="center"/>
    </xf>
    <xf numFmtId="169" fontId="9" fillId="0" borderId="1" xfId="6" applyNumberFormat="1" applyFont="1" applyBorder="1" applyAlignment="1">
      <alignment horizontal="center" vertical="center" wrapText="1"/>
    </xf>
    <xf numFmtId="169" fontId="9" fillId="13" borderId="1" xfId="6" applyNumberFormat="1" applyFont="1" applyFill="1" applyBorder="1" applyAlignment="1">
      <alignment horizontal="center" vertical="center" wrapText="1"/>
    </xf>
    <xf numFmtId="172" fontId="9" fillId="0" borderId="1" xfId="6" applyNumberFormat="1" applyFont="1" applyBorder="1" applyAlignment="1" applyProtection="1">
      <alignment horizontal="center" vertical="center" wrapText="1"/>
      <protection locked="0"/>
    </xf>
    <xf numFmtId="0" fontId="15" fillId="15" borderId="33" xfId="5" applyFont="1" applyFill="1" applyBorder="1" applyAlignment="1" applyProtection="1">
      <alignment vertical="center" readingOrder="2"/>
    </xf>
    <xf numFmtId="0" fontId="15" fillId="15" borderId="34" xfId="5" applyFont="1" applyFill="1" applyBorder="1" applyAlignment="1" applyProtection="1">
      <alignment vertical="center" readingOrder="2"/>
    </xf>
    <xf numFmtId="0" fontId="61" fillId="15" borderId="35" xfId="5" quotePrefix="1" applyFont="1" applyFill="1" applyBorder="1" applyAlignment="1" applyProtection="1">
      <alignment vertical="center" readingOrder="2"/>
    </xf>
    <xf numFmtId="0" fontId="62" fillId="5" borderId="0" xfId="12" applyFont="1" applyAlignment="1">
      <alignment vertical="center"/>
    </xf>
    <xf numFmtId="0" fontId="63" fillId="16" borderId="0" xfId="0" applyFont="1" applyFill="1" applyAlignment="1">
      <alignment horizontal="right" vertical="center" wrapText="1" readingOrder="2"/>
    </xf>
    <xf numFmtId="1" fontId="3" fillId="6" borderId="30" xfId="3" applyNumberFormat="1" applyFont="1" applyFill="1" applyBorder="1" applyAlignment="1" applyProtection="1">
      <alignment horizontal="center" vertical="center" readingOrder="2"/>
    </xf>
    <xf numFmtId="1" fontId="8" fillId="6" borderId="1" xfId="3" applyNumberFormat="1" applyFont="1" applyFill="1" applyBorder="1" applyAlignment="1" applyProtection="1">
      <alignment horizontal="center" vertical="center" wrapText="1" readingOrder="2"/>
    </xf>
    <xf numFmtId="164" fontId="2" fillId="7" borderId="1" xfId="3" applyNumberFormat="1" applyFont="1" applyFill="1" applyBorder="1" applyAlignment="1" applyProtection="1">
      <alignment horizontal="center" vertical="center"/>
      <protection locked="0"/>
    </xf>
    <xf numFmtId="164" fontId="2" fillId="4" borderId="1" xfId="3" applyNumberFormat="1" applyFont="1" applyFill="1" applyBorder="1" applyAlignment="1" applyProtection="1">
      <alignment horizontal="center" vertical="center" wrapText="1"/>
      <protection locked="0"/>
    </xf>
    <xf numFmtId="172" fontId="10" fillId="7" borderId="41" xfId="3" applyNumberFormat="1" applyFont="1" applyFill="1" applyBorder="1" applyAlignment="1" applyProtection="1">
      <alignment horizontal="center"/>
      <protection locked="0"/>
    </xf>
    <xf numFmtId="1" fontId="10" fillId="8" borderId="22" xfId="0" applyNumberFormat="1" applyFont="1" applyFill="1" applyBorder="1" applyAlignment="1" applyProtection="1">
      <alignment horizontal="center" vertical="center" wrapText="1" readingOrder="2"/>
      <protection locked="0"/>
    </xf>
    <xf numFmtId="0" fontId="9" fillId="7" borderId="11"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35" fillId="6" borderId="3" xfId="0" applyFont="1" applyFill="1" applyBorder="1" applyAlignment="1">
      <alignment horizontal="center" vertical="center" readingOrder="2"/>
    </xf>
    <xf numFmtId="0" fontId="35" fillId="6" borderId="0" xfId="0" applyFont="1" applyFill="1" applyAlignment="1">
      <alignment horizontal="center" vertical="center" readingOrder="2"/>
    </xf>
    <xf numFmtId="0" fontId="35" fillId="6" borderId="4" xfId="0" applyFont="1" applyFill="1" applyBorder="1" applyAlignment="1">
      <alignment horizontal="center" vertical="center" readingOrder="2"/>
    </xf>
    <xf numFmtId="0" fontId="11" fillId="6" borderId="3" xfId="0" applyFont="1" applyFill="1" applyBorder="1" applyAlignment="1">
      <alignment horizontal="right" vertical="center" wrapText="1" readingOrder="2"/>
    </xf>
    <xf numFmtId="0" fontId="11" fillId="6" borderId="0" xfId="0" applyFont="1" applyFill="1" applyAlignment="1">
      <alignment horizontal="right" vertical="center" wrapText="1" readingOrder="2"/>
    </xf>
    <xf numFmtId="0" fontId="11" fillId="6" borderId="4" xfId="0" applyFont="1" applyFill="1" applyBorder="1" applyAlignment="1">
      <alignment horizontal="right" vertical="center" wrapText="1" readingOrder="2"/>
    </xf>
    <xf numFmtId="0" fontId="9" fillId="6" borderId="29" xfId="0" applyFont="1" applyFill="1" applyBorder="1" applyAlignment="1">
      <alignment horizontal="center" vertical="center" wrapText="1" readingOrder="2"/>
    </xf>
    <xf numFmtId="0" fontId="9" fillId="6" borderId="28" xfId="0" applyFont="1" applyFill="1" applyBorder="1" applyAlignment="1">
      <alignment horizontal="center" vertical="center" wrapText="1" readingOrder="2"/>
    </xf>
    <xf numFmtId="0" fontId="9" fillId="6" borderId="30" xfId="0" applyFont="1" applyFill="1" applyBorder="1" applyAlignment="1">
      <alignment horizontal="center" vertical="center" wrapText="1" readingOrder="2"/>
    </xf>
    <xf numFmtId="0" fontId="37" fillId="6" borderId="0" xfId="0" applyFont="1" applyFill="1" applyAlignment="1">
      <alignment horizontal="center" vertical="center" wrapText="1" readingOrder="2"/>
    </xf>
    <xf numFmtId="0" fontId="23" fillId="15" borderId="36" xfId="5" applyFont="1" applyFill="1" applyBorder="1" applyAlignment="1" applyProtection="1">
      <alignment horizontal="center" vertical="center" readingOrder="2"/>
    </xf>
    <xf numFmtId="0" fontId="23" fillId="15" borderId="37" xfId="5" applyFont="1" applyFill="1" applyBorder="1" applyAlignment="1" applyProtection="1">
      <alignment horizontal="center" vertical="center" readingOrder="2"/>
    </xf>
    <xf numFmtId="0" fontId="23" fillId="15" borderId="38" xfId="5" applyFont="1" applyFill="1" applyBorder="1" applyAlignment="1" applyProtection="1">
      <alignment horizontal="center" vertical="center" readingOrder="2"/>
    </xf>
    <xf numFmtId="0" fontId="23" fillId="12" borderId="39" xfId="3" applyNumberFormat="1" applyFont="1" applyFill="1" applyBorder="1" applyAlignment="1" applyProtection="1">
      <alignment horizontal="center" vertical="center" wrapText="1"/>
    </xf>
    <xf numFmtId="0" fontId="23" fillId="12" borderId="11" xfId="3" applyNumberFormat="1" applyFont="1" applyFill="1" applyBorder="1" applyAlignment="1" applyProtection="1">
      <alignment horizontal="center" vertical="center" wrapText="1"/>
    </xf>
    <xf numFmtId="0" fontId="23" fillId="12" borderId="12" xfId="3" applyNumberFormat="1" applyFont="1" applyFill="1" applyBorder="1" applyAlignment="1" applyProtection="1">
      <alignment horizontal="center" vertical="center" wrapText="1"/>
    </xf>
    <xf numFmtId="0" fontId="23" fillId="6" borderId="39" xfId="3" applyNumberFormat="1" applyFont="1" applyFill="1" applyBorder="1" applyAlignment="1" applyProtection="1">
      <alignment horizontal="center" vertical="center" wrapText="1"/>
    </xf>
    <xf numFmtId="0" fontId="23" fillId="6" borderId="11" xfId="3" applyNumberFormat="1" applyFont="1" applyFill="1" applyBorder="1" applyAlignment="1" applyProtection="1">
      <alignment horizontal="center" vertical="center" wrapText="1"/>
    </xf>
    <xf numFmtId="0" fontId="23" fillId="6" borderId="12" xfId="3" applyNumberFormat="1" applyFont="1" applyFill="1" applyBorder="1" applyAlignment="1" applyProtection="1">
      <alignment horizontal="center" vertical="center" wrapText="1"/>
    </xf>
    <xf numFmtId="0" fontId="40" fillId="7" borderId="39" xfId="0" applyFont="1" applyFill="1" applyBorder="1" applyAlignment="1">
      <alignment horizontal="center" vertical="center"/>
    </xf>
    <xf numFmtId="0" fontId="40" fillId="7" borderId="11" xfId="0" applyFont="1" applyFill="1" applyBorder="1" applyAlignment="1">
      <alignment horizontal="center" vertical="center"/>
    </xf>
    <xf numFmtId="167" fontId="40" fillId="7" borderId="11" xfId="0" applyNumberFormat="1" applyFont="1" applyFill="1" applyBorder="1" applyAlignment="1">
      <alignment horizontal="center" vertical="center" wrapText="1"/>
    </xf>
    <xf numFmtId="0" fontId="9" fillId="12" borderId="29" xfId="0" applyFont="1" applyFill="1" applyBorder="1" applyAlignment="1">
      <alignment horizontal="center" vertical="center" wrapText="1"/>
    </xf>
    <xf numFmtId="0" fontId="9" fillId="12" borderId="28" xfId="0" applyFont="1" applyFill="1" applyBorder="1" applyAlignment="1">
      <alignment horizontal="center" vertical="center" wrapText="1"/>
    </xf>
    <xf numFmtId="0" fontId="9" fillId="12" borderId="30" xfId="0" applyFont="1" applyFill="1" applyBorder="1" applyAlignment="1">
      <alignment horizontal="center" vertical="center" wrapText="1"/>
    </xf>
    <xf numFmtId="0" fontId="9" fillId="12" borderId="29" xfId="0" applyFont="1" applyFill="1" applyBorder="1" applyAlignment="1">
      <alignment horizontal="center" vertical="center"/>
    </xf>
    <xf numFmtId="0" fontId="9" fillId="12" borderId="28" xfId="0" applyFont="1" applyFill="1" applyBorder="1" applyAlignment="1">
      <alignment horizontal="center" vertical="center"/>
    </xf>
    <xf numFmtId="0" fontId="9" fillId="12" borderId="30" xfId="0" applyFont="1" applyFill="1" applyBorder="1" applyAlignment="1">
      <alignment horizontal="center" vertical="center"/>
    </xf>
    <xf numFmtId="49" fontId="22" fillId="12" borderId="39" xfId="3" applyNumberFormat="1" applyFont="1" applyFill="1" applyBorder="1" applyAlignment="1" applyProtection="1">
      <alignment horizontal="center" vertical="center"/>
    </xf>
    <xf numFmtId="49" fontId="22" fillId="12" borderId="11" xfId="3" applyNumberFormat="1" applyFont="1" applyFill="1" applyBorder="1" applyAlignment="1" applyProtection="1">
      <alignment horizontal="center" vertical="center"/>
    </xf>
    <xf numFmtId="49" fontId="22" fillId="12" borderId="12" xfId="3" applyNumberFormat="1" applyFont="1" applyFill="1" applyBorder="1" applyAlignment="1" applyProtection="1">
      <alignment horizontal="center" vertical="center"/>
    </xf>
    <xf numFmtId="38" fontId="14" fillId="7" borderId="3" xfId="0" applyNumberFormat="1" applyFont="1" applyFill="1" applyBorder="1" applyAlignment="1">
      <alignment horizontal="right" vertical="center" wrapText="1"/>
    </xf>
    <xf numFmtId="38" fontId="14" fillId="7" borderId="0" xfId="0" applyNumberFormat="1" applyFont="1" applyFill="1" applyAlignment="1">
      <alignment horizontal="right" vertical="center" wrapText="1"/>
    </xf>
    <xf numFmtId="38" fontId="14" fillId="7" borderId="4" xfId="0" applyNumberFormat="1" applyFont="1" applyFill="1" applyBorder="1" applyAlignment="1">
      <alignment horizontal="right" vertical="center" wrapText="1"/>
    </xf>
    <xf numFmtId="49" fontId="22" fillId="12" borderId="7" xfId="3" applyNumberFormat="1" applyFont="1" applyFill="1" applyBorder="1" applyAlignment="1" applyProtection="1">
      <alignment horizontal="center" vertical="center"/>
    </xf>
    <xf numFmtId="49" fontId="22" fillId="12" borderId="8" xfId="3" applyNumberFormat="1" applyFont="1" applyFill="1" applyBorder="1" applyAlignment="1" applyProtection="1">
      <alignment horizontal="center" vertical="center"/>
    </xf>
    <xf numFmtId="49" fontId="22" fillId="12" borderId="9" xfId="3" applyNumberFormat="1" applyFont="1" applyFill="1" applyBorder="1" applyAlignment="1" applyProtection="1">
      <alignment horizontal="center" vertical="center"/>
    </xf>
    <xf numFmtId="0" fontId="40" fillId="4" borderId="39" xfId="0" applyFont="1" applyFill="1" applyBorder="1" applyAlignment="1">
      <alignment horizontal="center" vertical="center"/>
    </xf>
    <xf numFmtId="0" fontId="40" fillId="4" borderId="11" xfId="0" applyFont="1" applyFill="1" applyBorder="1" applyAlignment="1">
      <alignment horizontal="center" vertical="center"/>
    </xf>
    <xf numFmtId="0" fontId="40" fillId="4" borderId="40" xfId="0" applyFont="1" applyFill="1" applyBorder="1" applyAlignment="1">
      <alignment horizontal="center" vertical="center"/>
    </xf>
    <xf numFmtId="38" fontId="14" fillId="7" borderId="14" xfId="0" applyNumberFormat="1" applyFont="1" applyFill="1" applyBorder="1" applyAlignment="1">
      <alignment horizontal="right" vertical="center" wrapText="1"/>
    </xf>
    <xf numFmtId="38" fontId="14" fillId="7" borderId="15" xfId="0" applyNumberFormat="1" applyFont="1" applyFill="1" applyBorder="1" applyAlignment="1">
      <alignment horizontal="right" vertical="center" wrapText="1"/>
    </xf>
    <xf numFmtId="38" fontId="14" fillId="7" borderId="16" xfId="0" applyNumberFormat="1" applyFont="1" applyFill="1" applyBorder="1" applyAlignment="1">
      <alignment horizontal="right" vertical="center" wrapText="1"/>
    </xf>
    <xf numFmtId="0" fontId="27" fillId="12" borderId="28" xfId="0" applyFont="1" applyFill="1" applyBorder="1" applyAlignment="1">
      <alignment horizontal="center" vertical="center" wrapText="1"/>
    </xf>
    <xf numFmtId="0" fontId="27" fillId="12" borderId="30" xfId="0" applyFont="1" applyFill="1" applyBorder="1" applyAlignment="1">
      <alignment horizontal="center" vertical="center" wrapText="1"/>
    </xf>
    <xf numFmtId="0" fontId="27" fillId="12" borderId="28" xfId="0" applyFont="1" applyFill="1" applyBorder="1" applyAlignment="1">
      <alignment horizontal="center" vertical="center"/>
    </xf>
    <xf numFmtId="0" fontId="27" fillId="12" borderId="30" xfId="0" applyFont="1" applyFill="1" applyBorder="1" applyAlignment="1">
      <alignment horizontal="center" vertical="center"/>
    </xf>
    <xf numFmtId="49" fontId="22" fillId="6" borderId="0" xfId="3" applyNumberFormat="1" applyFont="1" applyFill="1" applyBorder="1" applyAlignment="1" applyProtection="1">
      <alignment horizontal="center" vertical="center"/>
    </xf>
    <xf numFmtId="0" fontId="9" fillId="12" borderId="1" xfId="0" applyFont="1" applyFill="1" applyBorder="1" applyAlignment="1">
      <alignment horizontal="center" vertical="center"/>
    </xf>
    <xf numFmtId="0" fontId="27" fillId="12" borderId="1" xfId="0" applyFont="1" applyFill="1" applyBorder="1" applyAlignment="1">
      <alignment horizontal="center" vertical="center"/>
    </xf>
    <xf numFmtId="38" fontId="14" fillId="4" borderId="7" xfId="0" applyNumberFormat="1" applyFont="1" applyFill="1" applyBorder="1" applyAlignment="1">
      <alignment horizontal="right" vertical="center" wrapText="1"/>
    </xf>
    <xf numFmtId="38" fontId="14" fillId="4" borderId="8" xfId="0" applyNumberFormat="1" applyFont="1" applyFill="1" applyBorder="1" applyAlignment="1">
      <alignment horizontal="right" vertical="center" wrapText="1"/>
    </xf>
    <xf numFmtId="38" fontId="14" fillId="4" borderId="9" xfId="0" applyNumberFormat="1" applyFont="1" applyFill="1" applyBorder="1" applyAlignment="1">
      <alignment horizontal="right" vertical="center" wrapText="1"/>
    </xf>
    <xf numFmtId="38" fontId="15" fillId="4" borderId="3" xfId="0" applyNumberFormat="1" applyFont="1" applyFill="1" applyBorder="1" applyAlignment="1">
      <alignment horizontal="right" vertical="center" wrapText="1"/>
    </xf>
    <xf numFmtId="38" fontId="15" fillId="4" borderId="0" xfId="0" applyNumberFormat="1" applyFont="1" applyFill="1" applyAlignment="1">
      <alignment horizontal="right" vertical="center" wrapText="1"/>
    </xf>
    <xf numFmtId="38" fontId="15" fillId="4" borderId="4" xfId="0" applyNumberFormat="1" applyFont="1" applyFill="1" applyBorder="1" applyAlignment="1">
      <alignment horizontal="right" vertical="center" wrapText="1"/>
    </xf>
    <xf numFmtId="38" fontId="14" fillId="4" borderId="3" xfId="0" applyNumberFormat="1" applyFont="1" applyFill="1" applyBorder="1" applyAlignment="1">
      <alignment horizontal="right" vertical="center" wrapText="1"/>
    </xf>
    <xf numFmtId="38" fontId="14" fillId="4" borderId="0" xfId="0" applyNumberFormat="1" applyFont="1" applyFill="1" applyAlignment="1">
      <alignment horizontal="right" vertical="center" wrapText="1"/>
    </xf>
    <xf numFmtId="38" fontId="14" fillId="4" borderId="4" xfId="0" applyNumberFormat="1" applyFont="1" applyFill="1" applyBorder="1" applyAlignment="1">
      <alignment horizontal="right" vertical="center" wrapText="1"/>
    </xf>
    <xf numFmtId="0" fontId="23" fillId="13" borderId="28" xfId="0" applyFont="1" applyFill="1" applyBorder="1" applyAlignment="1">
      <alignment horizontal="center" vertical="center" wrapText="1"/>
    </xf>
    <xf numFmtId="0" fontId="23" fillId="13" borderId="30" xfId="0" applyFont="1" applyFill="1" applyBorder="1" applyAlignment="1">
      <alignment horizontal="center" vertical="center" wrapText="1"/>
    </xf>
    <xf numFmtId="164" fontId="15" fillId="13" borderId="29" xfId="3" applyNumberFormat="1" applyFont="1" applyFill="1" applyBorder="1" applyAlignment="1" applyProtection="1">
      <alignment horizontal="center" vertical="center" wrapText="1"/>
    </xf>
    <xf numFmtId="164" fontId="15" fillId="13" borderId="28" xfId="3" applyNumberFormat="1" applyFont="1" applyFill="1" applyBorder="1" applyAlignment="1" applyProtection="1">
      <alignment horizontal="center" vertical="center" wrapText="1"/>
    </xf>
    <xf numFmtId="164" fontId="15" fillId="13" borderId="30" xfId="3" applyNumberFormat="1" applyFont="1" applyFill="1" applyBorder="1" applyAlignment="1" applyProtection="1">
      <alignment horizontal="center" vertical="center" wrapText="1"/>
    </xf>
    <xf numFmtId="49" fontId="23" fillId="13" borderId="39" xfId="3" applyNumberFormat="1" applyFont="1" applyFill="1" applyBorder="1" applyAlignment="1" applyProtection="1">
      <alignment horizontal="center" vertical="center"/>
    </xf>
    <xf numFmtId="49" fontId="23" fillId="13" borderId="11" xfId="3" applyNumberFormat="1" applyFont="1" applyFill="1" applyBorder="1" applyAlignment="1" applyProtection="1">
      <alignment horizontal="center" vertical="center"/>
    </xf>
    <xf numFmtId="49" fontId="23" fillId="13" borderId="12" xfId="3" applyNumberFormat="1" applyFont="1" applyFill="1" applyBorder="1" applyAlignment="1" applyProtection="1">
      <alignment horizontal="center" vertical="center"/>
    </xf>
    <xf numFmtId="49" fontId="23" fillId="6" borderId="0" xfId="3" applyNumberFormat="1" applyFont="1" applyFill="1" applyBorder="1" applyAlignment="1" applyProtection="1">
      <alignment horizontal="center" vertical="center"/>
    </xf>
    <xf numFmtId="0" fontId="23" fillId="13" borderId="29" xfId="0" applyFont="1" applyFill="1" applyBorder="1" applyAlignment="1">
      <alignment horizontal="center" vertical="center"/>
    </xf>
    <xf numFmtId="0" fontId="43" fillId="13" borderId="28" xfId="0" applyFont="1" applyFill="1" applyBorder="1" applyAlignment="1">
      <alignment horizontal="center" vertical="center"/>
    </xf>
    <xf numFmtId="0" fontId="43" fillId="13" borderId="30" xfId="0" applyFont="1" applyFill="1" applyBorder="1" applyAlignment="1">
      <alignment horizontal="center" vertical="center"/>
    </xf>
    <xf numFmtId="0" fontId="23" fillId="13" borderId="29" xfId="0" applyFont="1" applyFill="1" applyBorder="1" applyAlignment="1">
      <alignment horizontal="center" vertical="center" wrapText="1"/>
    </xf>
    <xf numFmtId="0" fontId="43" fillId="13" borderId="28" xfId="0" applyFont="1" applyFill="1" applyBorder="1" applyAlignment="1">
      <alignment horizontal="center" vertical="center" wrapText="1"/>
    </xf>
    <xf numFmtId="0" fontId="43" fillId="13" borderId="30" xfId="0" applyFont="1" applyFill="1" applyBorder="1" applyAlignment="1">
      <alignment horizontal="center" vertical="center" wrapText="1"/>
    </xf>
    <xf numFmtId="49" fontId="23" fillId="13" borderId="39" xfId="3" applyNumberFormat="1" applyFont="1" applyFill="1" applyBorder="1" applyAlignment="1">
      <alignment horizontal="center" vertical="center"/>
    </xf>
    <xf numFmtId="49" fontId="23" fillId="13" borderId="11" xfId="3" applyNumberFormat="1" applyFont="1" applyFill="1" applyBorder="1" applyAlignment="1">
      <alignment horizontal="center" vertical="center"/>
    </xf>
    <xf numFmtId="49" fontId="23" fillId="13" borderId="12" xfId="3" applyNumberFormat="1" applyFont="1" applyFill="1" applyBorder="1" applyAlignment="1">
      <alignment horizontal="center" vertical="center"/>
    </xf>
    <xf numFmtId="49" fontId="23" fillId="6" borderId="0" xfId="3" applyNumberFormat="1" applyFont="1" applyFill="1" applyBorder="1" applyAlignment="1">
      <alignment horizontal="center" vertical="center"/>
    </xf>
    <xf numFmtId="0" fontId="15" fillId="13" borderId="29" xfId="0" applyFont="1" applyFill="1" applyBorder="1" applyAlignment="1">
      <alignment horizontal="center" vertical="center"/>
    </xf>
    <xf numFmtId="0" fontId="15" fillId="13" borderId="28" xfId="0" applyFont="1" applyFill="1" applyBorder="1" applyAlignment="1">
      <alignment horizontal="center" vertical="center"/>
    </xf>
    <xf numFmtId="0" fontId="15" fillId="13" borderId="30" xfId="0" applyFont="1" applyFill="1" applyBorder="1" applyAlignment="1">
      <alignment horizontal="center" vertical="center"/>
    </xf>
    <xf numFmtId="49" fontId="22" fillId="13" borderId="39" xfId="3" applyNumberFormat="1" applyFont="1" applyFill="1" applyBorder="1" applyAlignment="1" applyProtection="1">
      <alignment horizontal="center" vertical="center"/>
    </xf>
    <xf numFmtId="49" fontId="22" fillId="13" borderId="11" xfId="3" applyNumberFormat="1" applyFont="1" applyFill="1" applyBorder="1" applyAlignment="1" applyProtection="1">
      <alignment horizontal="center" vertical="center"/>
    </xf>
    <xf numFmtId="49" fontId="22" fillId="13" borderId="12" xfId="3" applyNumberFormat="1" applyFont="1" applyFill="1" applyBorder="1" applyAlignment="1" applyProtection="1">
      <alignment horizontal="center" vertical="center"/>
    </xf>
    <xf numFmtId="164" fontId="31" fillId="0" borderId="15" xfId="3" applyNumberFormat="1" applyFont="1" applyBorder="1" applyAlignment="1" applyProtection="1">
      <alignment horizontal="center" vertical="center" wrapText="1" readingOrder="2"/>
    </xf>
    <xf numFmtId="0" fontId="9" fillId="17" borderId="29" xfId="0" applyFont="1" applyFill="1" applyBorder="1" applyAlignment="1">
      <alignment horizontal="center" vertical="center"/>
    </xf>
    <xf numFmtId="0" fontId="9" fillId="17" borderId="28" xfId="0" applyFont="1" applyFill="1" applyBorder="1" applyAlignment="1">
      <alignment horizontal="center" vertical="center"/>
    </xf>
    <xf numFmtId="0" fontId="9" fillId="17" borderId="30" xfId="0" applyFont="1" applyFill="1" applyBorder="1" applyAlignment="1">
      <alignment horizontal="center" vertical="center"/>
    </xf>
    <xf numFmtId="164" fontId="10" fillId="13" borderId="29" xfId="3" applyNumberFormat="1" applyFont="1" applyFill="1" applyBorder="1" applyAlignment="1" applyProtection="1">
      <alignment horizontal="center" vertical="center"/>
    </xf>
    <xf numFmtId="164" fontId="10" fillId="13" borderId="28" xfId="3" applyNumberFormat="1" applyFont="1" applyFill="1" applyBorder="1" applyAlignment="1" applyProtection="1">
      <alignment horizontal="center" vertical="center"/>
    </xf>
    <xf numFmtId="164" fontId="10" fillId="13" borderId="30" xfId="3" applyNumberFormat="1" applyFont="1" applyFill="1" applyBorder="1" applyAlignment="1" applyProtection="1">
      <alignment horizontal="center" vertical="center"/>
    </xf>
    <xf numFmtId="164" fontId="10" fillId="13" borderId="1" xfId="3" applyNumberFormat="1" applyFont="1" applyFill="1" applyBorder="1" applyAlignment="1" applyProtection="1">
      <alignment horizontal="center" vertical="center"/>
      <protection locked="0"/>
    </xf>
    <xf numFmtId="164" fontId="10" fillId="13" borderId="29" xfId="3" applyNumberFormat="1" applyFont="1" applyFill="1" applyBorder="1" applyAlignment="1" applyProtection="1">
      <alignment horizontal="center" vertical="center" wrapText="1"/>
    </xf>
    <xf numFmtId="164" fontId="10" fillId="13" borderId="28" xfId="3" applyNumberFormat="1" applyFont="1" applyFill="1" applyBorder="1" applyAlignment="1" applyProtection="1">
      <alignment horizontal="center" vertical="center" wrapText="1"/>
    </xf>
    <xf numFmtId="164" fontId="10" fillId="13" borderId="30" xfId="3" applyNumberFormat="1" applyFont="1" applyFill="1" applyBorder="1" applyAlignment="1" applyProtection="1">
      <alignment horizontal="center" vertical="center" wrapText="1"/>
    </xf>
    <xf numFmtId="0" fontId="9" fillId="13" borderId="29" xfId="0" applyFont="1" applyFill="1" applyBorder="1" applyAlignment="1">
      <alignment horizontal="center" vertical="center"/>
    </xf>
    <xf numFmtId="0" fontId="27" fillId="13" borderId="28" xfId="0" applyFont="1" applyFill="1" applyBorder="1" applyAlignment="1">
      <alignment horizontal="center" vertical="center"/>
    </xf>
    <xf numFmtId="0" fontId="27" fillId="13" borderId="30" xfId="0" applyFont="1" applyFill="1" applyBorder="1" applyAlignment="1">
      <alignment horizontal="center" vertical="center"/>
    </xf>
    <xf numFmtId="0" fontId="9" fillId="13" borderId="29" xfId="0" applyFont="1" applyFill="1" applyBorder="1" applyAlignment="1">
      <alignment horizontal="center" vertical="center" wrapText="1"/>
    </xf>
    <xf numFmtId="0" fontId="27" fillId="13" borderId="28" xfId="0" applyFont="1" applyFill="1" applyBorder="1" applyAlignment="1">
      <alignment horizontal="center" vertical="center" wrapText="1"/>
    </xf>
    <xf numFmtId="0" fontId="27" fillId="13" borderId="30" xfId="0" applyFont="1" applyFill="1" applyBorder="1" applyAlignment="1">
      <alignment horizontal="center" vertical="center" wrapText="1"/>
    </xf>
    <xf numFmtId="0" fontId="18" fillId="13" borderId="29" xfId="0" applyFont="1" applyFill="1" applyBorder="1" applyAlignment="1">
      <alignment horizontal="center" vertical="center" wrapText="1"/>
    </xf>
    <xf numFmtId="0" fontId="18" fillId="13" borderId="30" xfId="0" applyFont="1" applyFill="1" applyBorder="1" applyAlignment="1">
      <alignment horizontal="center" vertical="center" wrapText="1"/>
    </xf>
    <xf numFmtId="0" fontId="18" fillId="13" borderId="1" xfId="0" applyFont="1" applyFill="1" applyBorder="1" applyAlignment="1">
      <alignment horizontal="center" vertical="center" wrapText="1"/>
    </xf>
    <xf numFmtId="0" fontId="9" fillId="13" borderId="28" xfId="0" applyFont="1" applyFill="1" applyBorder="1" applyAlignment="1">
      <alignment horizontal="center" vertical="center" wrapText="1"/>
    </xf>
    <xf numFmtId="0" fontId="9" fillId="13" borderId="30" xfId="0" applyFont="1" applyFill="1" applyBorder="1" applyAlignment="1">
      <alignment horizontal="center" vertical="center" wrapText="1"/>
    </xf>
    <xf numFmtId="49" fontId="22" fillId="6" borderId="39" xfId="3" applyNumberFormat="1" applyFont="1" applyFill="1" applyBorder="1" applyAlignment="1" applyProtection="1">
      <alignment horizontal="center" vertical="center"/>
    </xf>
    <xf numFmtId="49" fontId="22" fillId="6" borderId="11" xfId="3" applyNumberFormat="1" applyFont="1" applyFill="1" applyBorder="1" applyAlignment="1" applyProtection="1">
      <alignment horizontal="center" vertical="center"/>
    </xf>
    <xf numFmtId="49" fontId="22" fillId="6" borderId="12" xfId="3" applyNumberFormat="1" applyFont="1" applyFill="1" applyBorder="1" applyAlignment="1" applyProtection="1">
      <alignment horizontal="center" vertical="center"/>
    </xf>
    <xf numFmtId="38" fontId="9" fillId="14" borderId="1" xfId="0" applyNumberFormat="1"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1" xfId="0" applyFont="1" applyFill="1" applyBorder="1" applyAlignment="1">
      <alignment horizontal="center" vertical="center"/>
    </xf>
    <xf numFmtId="0" fontId="9" fillId="12" borderId="39" xfId="6" applyFont="1" applyFill="1" applyBorder="1" applyAlignment="1">
      <alignment horizontal="center" vertical="center"/>
    </xf>
    <xf numFmtId="0" fontId="9" fillId="12" borderId="12" xfId="6" applyFont="1" applyFill="1" applyBorder="1" applyAlignment="1">
      <alignment horizontal="center" vertical="center"/>
    </xf>
    <xf numFmtId="0" fontId="23" fillId="13" borderId="1" xfId="6" applyFont="1" applyFill="1" applyBorder="1" applyAlignment="1">
      <alignment horizontal="center" vertical="center"/>
    </xf>
    <xf numFmtId="0" fontId="23" fillId="0" borderId="0" xfId="6" applyFont="1" applyAlignment="1">
      <alignment horizontal="center" vertical="center" wrapText="1"/>
    </xf>
    <xf numFmtId="0" fontId="15" fillId="0" borderId="1" xfId="6" applyFont="1" applyBorder="1" applyAlignment="1">
      <alignment horizontal="center" vertical="center"/>
    </xf>
  </cellXfs>
  <cellStyles count="13">
    <cellStyle name="20% - הדגשה3" xfId="5" builtinId="38"/>
    <cellStyle name="20% - הדגשה3 2" xfId="9" xr:uid="{00000000-0005-0000-0000-00000B000000}"/>
    <cellStyle name="20% - הדגשה6" xfId="11" builtinId="50"/>
    <cellStyle name="Comma" xfId="3" builtinId="3"/>
    <cellStyle name="Comma 2" xfId="4" xr:uid="{00000000-0005-0000-0000-000006000000}"/>
    <cellStyle name="Comma 2 2" xfId="7" xr:uid="{00000000-0005-0000-0000-000009000000}"/>
    <cellStyle name="Comma 3" xfId="8" xr:uid="{00000000-0005-0000-0000-00000A000000}"/>
    <cellStyle name="Currency" xfId="2" builtinId="4"/>
    <cellStyle name="Normal" xfId="0" builtinId="0"/>
    <cellStyle name="Normal 2" xfId="6" xr:uid="{00000000-0005-0000-0000-000008000000}"/>
    <cellStyle name="Normal 2 2" xfId="10" xr:uid="{00000000-0005-0000-0000-00000C000000}"/>
    <cellStyle name="Percent" xfId="1" builtinId="5"/>
    <cellStyle name="רע" xfId="12" builtinId="27"/>
  </cellStyles>
  <dxfs count="45">
    <dxf>
      <font>
        <b/>
        <i val="0"/>
        <strike val="0"/>
        <color rgb="FFC00000"/>
      </font>
      <fill>
        <patternFill patternType="none"/>
      </fill>
    </dxf>
    <dxf>
      <font>
        <b/>
        <i val="0"/>
        <strike val="0"/>
        <color rgb="FFC00000"/>
      </font>
      <fill>
        <patternFill patternType="none"/>
      </fill>
    </dxf>
    <dxf>
      <font>
        <b/>
        <i val="0"/>
        <strike val="0"/>
        <color rgb="FFC00000"/>
      </font>
      <fill>
        <patternFill patternType="none"/>
      </fill>
    </dxf>
    <dxf>
      <font>
        <b/>
        <i val="0"/>
        <strike val="0"/>
        <color rgb="FFC00000"/>
      </font>
      <fill>
        <patternFill patternType="none"/>
      </fill>
    </dxf>
    <dxf>
      <font>
        <b/>
        <i val="0"/>
        <strike val="0"/>
        <color rgb="FFC00000"/>
      </font>
      <fill>
        <patternFill patternType="none"/>
      </fill>
    </dxf>
    <dxf>
      <font>
        <color rgb="FF9C0006"/>
      </font>
      <fill>
        <patternFill>
          <bgColor rgb="FFFFC7CE"/>
        </patternFill>
      </fill>
    </dxf>
    <dxf>
      <font>
        <color rgb="FF9C0006"/>
      </font>
      <fill>
        <patternFill>
          <bgColor rgb="FFFFC7CE"/>
        </patternFill>
      </fill>
    </dxf>
    <dxf>
      <font>
        <b/>
        <i val="0"/>
        <strike val="0"/>
        <color rgb="FFC00000"/>
      </font>
      <fill>
        <patternFill patternType="none"/>
      </fill>
    </dxf>
    <dxf>
      <font>
        <b/>
        <i val="0"/>
        <strike val="0"/>
        <color rgb="FFC00000"/>
      </font>
      <fill>
        <patternFill patternType="none"/>
      </fill>
    </dxf>
    <dxf>
      <font>
        <b/>
        <i val="0"/>
        <strike val="0"/>
        <color rgb="FFC00000"/>
      </font>
      <fill>
        <patternFill patternType="none"/>
      </fill>
    </dxf>
    <dxf>
      <font>
        <b/>
        <i val="0"/>
        <strike val="0"/>
        <color rgb="FFC00000"/>
      </font>
      <fill>
        <patternFill patternType="none"/>
      </fill>
    </dxf>
    <dxf>
      <font>
        <b/>
        <i val="0"/>
        <strike val="0"/>
        <color rgb="FFC00000"/>
      </font>
      <fill>
        <patternFill patternType="none"/>
      </fill>
    </dxf>
    <dxf>
      <font>
        <b/>
        <i val="0"/>
        <strike val="0"/>
        <color rgb="FFC00000"/>
      </font>
      <fill>
        <patternFill patternType="none"/>
      </fill>
    </dxf>
    <dxf>
      <font>
        <b/>
        <i val="0"/>
        <strike val="0"/>
        <color rgb="FFC00000"/>
      </font>
      <fill>
        <patternFill patternType="none"/>
      </fill>
    </dxf>
    <dxf>
      <font>
        <b val="0"/>
        <i val="0"/>
        <strike val="0"/>
        <u val="none"/>
        <sz val="11"/>
        <color indexed="8"/>
        <name val="Arial"/>
      </font>
      <numFmt numFmtId="0" formatCode="General"/>
      <fill>
        <patternFill patternType="solid">
          <bgColor theme="0"/>
        </patternFill>
      </fill>
      <alignment horizontal="general" vertical="center" textRotation="0" wrapText="1" shrinkToFit="0" readingOrder="2"/>
      <border>
        <left style="thin">
          <color auto="1"/>
        </left>
        <right/>
        <top style="thin">
          <color auto="1"/>
        </top>
        <bottom style="thin">
          <color auto="1"/>
        </bottom>
      </border>
      <protection locked="0" hidden="1"/>
    </dxf>
    <dxf>
      <numFmt numFmtId="166" formatCode="_ * #,##0.0_ ;_ * \-#,##0.0_ ;_ * &quot;-&quot;??_ ;_ @_ "/>
      <fill>
        <patternFill>
          <bgColor theme="0"/>
        </patternFill>
      </fill>
    </dxf>
    <dxf>
      <font>
        <b val="0"/>
        <i val="0"/>
        <strike val="0"/>
        <u val="none"/>
        <sz val="11"/>
        <color indexed="8"/>
        <name val="Arial"/>
        <family val="2"/>
      </font>
      <numFmt numFmtId="0" formatCode="General"/>
      <fill>
        <patternFill patternType="solid">
          <bgColor theme="0"/>
        </patternFill>
      </fill>
      <alignment horizontal="center" vertical="center" textRotation="0" wrapText="0" shrinkToFit="0" readingOrder="2"/>
      <border>
        <left style="thin">
          <color auto="1"/>
        </left>
        <right style="thin">
          <color auto="1"/>
        </right>
        <top style="thin">
          <color auto="1"/>
        </top>
        <bottom style="thin">
          <color auto="1"/>
        </bottom>
        <vertical style="thin">
          <color auto="1"/>
        </vertical>
        <horizontal style="thin">
          <color auto="1"/>
        </horizontal>
      </border>
      <protection locked="0" hidden="1"/>
    </dxf>
    <dxf>
      <numFmt numFmtId="166" formatCode="_ * #,##0.0_ ;_ * \-#,##0.0_ ;_ * &quot;-&quot;??_ ;_ @_ "/>
      <fill>
        <patternFill>
          <bgColor theme="0"/>
        </patternFill>
      </fill>
    </dxf>
    <dxf>
      <font>
        <b val="0"/>
        <i val="0"/>
        <strike val="0"/>
        <u val="none"/>
        <sz val="11"/>
        <color indexed="8"/>
        <name val="Arial"/>
      </font>
      <numFmt numFmtId="0" formatCode="General"/>
      <fill>
        <patternFill patternType="solid">
          <bgColor theme="0"/>
        </patternFill>
      </fill>
      <alignment horizontal="center" vertical="center" textRotation="0" wrapText="0" shrinkToFit="0" readingOrder="2"/>
      <border>
        <left style="thin">
          <color auto="1"/>
        </left>
        <right style="thin">
          <color auto="1"/>
        </right>
        <top style="thin">
          <color auto="1"/>
        </top>
        <bottom style="thin">
          <color auto="1"/>
        </bottom>
        <vertical style="thin">
          <color auto="1"/>
        </vertical>
        <horizontal style="thin">
          <color auto="1"/>
        </horizontal>
      </border>
      <protection locked="0" hidden="1"/>
    </dxf>
    <dxf>
      <numFmt numFmtId="166" formatCode="_ * #,##0.0_ ;_ * \-#,##0.0_ ;_ * &quot;-&quot;??_ ;_ @_ "/>
      <fill>
        <patternFill>
          <bgColor theme="0"/>
        </patternFill>
      </fill>
    </dxf>
    <dxf>
      <font>
        <b val="0"/>
        <i val="0"/>
        <strike val="0"/>
        <u val="none"/>
        <sz val="11"/>
        <color indexed="8"/>
        <name val="Arial"/>
      </font>
      <numFmt numFmtId="0" formatCode="General"/>
      <fill>
        <patternFill patternType="solid">
          <bgColor theme="0"/>
        </patternFill>
      </fill>
      <alignment horizontal="center" vertical="center" textRotation="0" wrapText="0" shrinkToFit="0" readingOrder="2"/>
      <border>
        <left style="thin">
          <color auto="1"/>
        </left>
        <right style="thin">
          <color auto="1"/>
        </right>
        <top style="thin">
          <color auto="1"/>
        </top>
        <bottom style="thin">
          <color auto="1"/>
        </bottom>
        <vertical style="thin">
          <color auto="1"/>
        </vertical>
        <horizontal style="thin">
          <color auto="1"/>
        </horizontal>
      </border>
      <protection locked="0" hidden="1"/>
    </dxf>
    <dxf>
      <numFmt numFmtId="166" formatCode="_ * #,##0.0_ ;_ * \-#,##0.0_ ;_ * &quot;-&quot;??_ ;_ @_ "/>
      <fill>
        <patternFill patternType="solid">
          <bgColor theme="0"/>
        </patternFill>
      </fill>
      <alignment horizontal="general" vertical="center" textRotation="0" wrapText="0" shrinkToFit="0" readingOrder="2"/>
      <border>
        <left style="thin">
          <color auto="1"/>
        </left>
        <right style="thin">
          <color auto="1"/>
        </right>
        <top/>
        <bottom/>
      </border>
    </dxf>
    <dxf>
      <font>
        <b val="0"/>
        <i val="0"/>
        <strike val="0"/>
        <u val="none"/>
        <sz val="11"/>
        <color indexed="8"/>
        <name val="Arial"/>
      </font>
      <numFmt numFmtId="0" formatCode="General"/>
      <fill>
        <patternFill patternType="solid">
          <bgColor theme="0"/>
        </patternFill>
      </fill>
      <alignment horizontal="center" vertical="center" textRotation="0" wrapText="0" shrinkToFit="0" readingOrder="2"/>
      <border>
        <left style="thin">
          <color auto="1"/>
        </left>
        <right style="thin">
          <color auto="1"/>
        </right>
        <top style="thin">
          <color auto="1"/>
        </top>
        <bottom style="thin">
          <color auto="1"/>
        </bottom>
        <vertical style="thin">
          <color auto="1"/>
        </vertical>
        <horizontal style="thin">
          <color auto="1"/>
        </horizontal>
      </border>
      <protection locked="0" hidden="1"/>
    </dxf>
    <dxf>
      <fill>
        <patternFill patternType="solid">
          <bgColor theme="0"/>
        </patternFill>
      </fill>
      <alignment horizontal="general" vertical="center" textRotation="0" wrapText="0" shrinkToFit="0" readingOrder="2"/>
      <border>
        <left style="thin">
          <color auto="1"/>
        </left>
        <right style="thin">
          <color auto="1"/>
        </right>
        <top/>
        <bottom/>
      </border>
    </dxf>
    <dxf>
      <font>
        <b val="0"/>
        <i val="0"/>
        <strike val="0"/>
        <u val="none"/>
        <sz val="11"/>
        <color indexed="8"/>
        <name val="Arial"/>
      </font>
      <numFmt numFmtId="0" formatCode="General"/>
      <fill>
        <patternFill patternType="solid">
          <fgColor theme="6" tint="0.79992065187536243"/>
          <bgColor theme="0"/>
        </patternFill>
      </fill>
      <alignment horizontal="center" vertical="center" textRotation="0" wrapText="0" shrinkToFit="0" readingOrder="2"/>
      <border>
        <left style="thin">
          <color auto="1"/>
        </left>
        <right style="thin">
          <color auto="1"/>
        </right>
        <top style="thin">
          <color auto="1"/>
        </top>
        <bottom style="thin">
          <color auto="1"/>
        </bottom>
        <vertical style="thin">
          <color auto="1"/>
        </vertical>
        <horizontal style="thin">
          <color auto="1"/>
        </horizontal>
      </border>
      <protection locked="0" hidden="1"/>
    </dxf>
    <dxf>
      <font>
        <b val="0"/>
        <i val="0"/>
        <strike val="0"/>
        <u val="none"/>
        <sz val="11"/>
        <color indexed="8"/>
        <name val="Arial"/>
      </font>
      <numFmt numFmtId="164" formatCode="_ * #,##0_ ;_ * \-#,##0_ ;_ * &quot;-&quot;??_ ;_ @_ "/>
      <fill>
        <patternFill patternType="solid">
          <bgColor theme="0"/>
        </patternFill>
      </fill>
      <alignment horizontal="center" vertical="center" textRotation="0" wrapText="0" shrinkToFit="0" readingOrder="2"/>
      <border>
        <left style="thin">
          <color auto="1"/>
        </left>
        <right style="thin">
          <color auto="1"/>
        </right>
        <top style="thin">
          <color auto="1"/>
        </top>
        <bottom style="thin">
          <color auto="1"/>
        </bottom>
        <vertical style="thin">
          <color auto="1"/>
        </vertical>
        <horizontal style="thin">
          <color auto="1"/>
        </horizontal>
      </border>
      <protection locked="0" hidden="1"/>
    </dxf>
    <dxf>
      <font>
        <b val="0"/>
        <i val="0"/>
        <strike val="0"/>
        <u val="none"/>
        <sz val="11"/>
        <color indexed="8"/>
        <name val="Arial"/>
        <family val="2"/>
      </font>
      <numFmt numFmtId="164" formatCode="_ * #,##0_ ;_ * \-#,##0_ ;_ * &quot;-&quot;??_ ;_ @_ "/>
      <fill>
        <patternFill patternType="solid">
          <bgColor theme="0"/>
        </patternFill>
      </fill>
      <alignment horizontal="general" vertical="center" textRotation="0" wrapText="0" shrinkToFit="0" readingOrder="2"/>
      <border>
        <left style="thin">
          <color auto="1"/>
        </left>
        <right style="thin">
          <color auto="1"/>
        </right>
        <top/>
        <bottom/>
      </border>
    </dxf>
    <dxf>
      <font>
        <b val="0"/>
        <i val="0"/>
        <strike val="0"/>
        <u val="none"/>
        <sz val="11"/>
        <color indexed="8"/>
        <name val="Arial"/>
      </font>
      <numFmt numFmtId="164" formatCode="_ * #,##0_ ;_ * \-#,##0_ ;_ * &quot;-&quot;??_ ;_ @_ "/>
      <fill>
        <patternFill patternType="solid">
          <bgColor theme="0"/>
        </patternFill>
      </fill>
      <alignment horizontal="center" vertical="center" textRotation="0" wrapText="0" shrinkToFit="0" readingOrder="2"/>
      <border>
        <left style="thin">
          <color auto="1"/>
        </left>
        <right style="thin">
          <color auto="1"/>
        </right>
        <top style="thin">
          <color auto="1"/>
        </top>
        <bottom style="thin">
          <color auto="1"/>
        </bottom>
        <vertical style="thin">
          <color auto="1"/>
        </vertical>
        <horizontal style="thin">
          <color auto="1"/>
        </horizontal>
      </border>
      <protection locked="0" hidden="1"/>
    </dxf>
    <dxf>
      <numFmt numFmtId="164" formatCode="_ * #,##0_ ;_ * \-#,##0_ ;_ * &quot;-&quot;??_ ;_ @_ "/>
      <fill>
        <patternFill patternType="solid">
          <bgColor theme="0"/>
        </patternFill>
      </fill>
      <alignment horizontal="right" vertical="center" textRotation="0" wrapText="1" shrinkToFit="0" readingOrder="2"/>
      <border>
        <left style="thin">
          <color auto="1"/>
        </left>
        <right style="thin">
          <color auto="1"/>
        </right>
        <top/>
        <bottom/>
      </border>
    </dxf>
    <dxf>
      <font>
        <b val="0"/>
        <i val="0"/>
        <strike val="0"/>
        <u val="none"/>
        <sz val="10"/>
        <color indexed="8"/>
        <name val="Arial Unicode MS"/>
      </font>
      <numFmt numFmtId="167" formatCode="0.0"/>
      <fill>
        <patternFill patternType="solid">
          <bgColor theme="0"/>
        </patternFill>
      </fill>
      <alignment horizontal="center" vertical="center" textRotation="0" wrapText="0" shrinkToFit="0" readingOrder="0"/>
      <border>
        <left style="thin">
          <color auto="1"/>
        </left>
        <right style="thin">
          <color auto="1"/>
        </right>
        <top style="thin">
          <color auto="1"/>
        </top>
        <bottom style="thin">
          <color auto="1"/>
        </bottom>
        <vertical style="thin">
          <color auto="1"/>
        </vertical>
        <horizontal style="thin">
          <color auto="1"/>
        </horizontal>
      </border>
      <protection locked="0" hidden="1"/>
    </dxf>
    <dxf>
      <numFmt numFmtId="164" formatCode="_ * #,##0_ ;_ * \-#,##0_ ;_ * &quot;-&quot;??_ ;_ @_ "/>
      <fill>
        <patternFill patternType="solid">
          <bgColor theme="0"/>
        </patternFill>
      </fill>
      <alignment horizontal="right" vertical="center" textRotation="0" wrapText="1" shrinkToFit="0" readingOrder="2"/>
      <border>
        <left style="thin">
          <color auto="1"/>
        </left>
        <right style="thin">
          <color auto="1"/>
        </right>
        <top/>
        <bottom/>
      </border>
    </dxf>
    <dxf>
      <font>
        <b val="0"/>
        <i val="0"/>
        <strike val="0"/>
        <u val="none"/>
        <sz val="11"/>
        <color indexed="8"/>
        <name val="Arial"/>
      </font>
      <numFmt numFmtId="0" formatCode="General"/>
      <fill>
        <patternFill patternType="solid">
          <bgColor theme="0"/>
        </patternFill>
      </fill>
      <alignment horizontal="center" vertical="center" textRotation="0" wrapText="1" shrinkToFit="0" readingOrder="2"/>
      <border>
        <left style="thin">
          <color auto="1"/>
        </left>
        <right style="thin">
          <color auto="1"/>
        </right>
        <top style="thin">
          <color auto="1"/>
        </top>
        <bottom style="thin">
          <color auto="1"/>
        </bottom>
        <vertical style="thin">
          <color auto="1"/>
        </vertical>
        <horizontal style="thin">
          <color auto="1"/>
        </horizontal>
      </border>
      <protection locked="0" hidden="1"/>
    </dxf>
    <dxf>
      <numFmt numFmtId="164" formatCode="_ * #,##0_ ;_ * \-#,##0_ ;_ * &quot;-&quot;??_ ;_ @_ "/>
      <fill>
        <patternFill patternType="solid">
          <bgColor theme="0"/>
        </patternFill>
      </fill>
      <alignment horizontal="general" vertical="center" textRotation="0" wrapText="0" shrinkToFit="0" readingOrder="2"/>
      <border>
        <left style="thin">
          <color auto="1"/>
        </left>
        <right style="thin">
          <color auto="1"/>
        </right>
        <top/>
        <bottom/>
      </border>
    </dxf>
    <dxf>
      <font>
        <b val="0"/>
        <i val="0"/>
        <strike val="0"/>
        <u val="none"/>
        <sz val="11"/>
        <color indexed="8"/>
        <name val="Arial"/>
      </font>
      <numFmt numFmtId="0" formatCode="General"/>
      <fill>
        <patternFill patternType="solid">
          <bgColor theme="0"/>
        </patternFill>
      </fill>
      <alignment horizontal="center" vertical="center" textRotation="0" wrapText="0" shrinkToFit="0" readingOrder="2"/>
      <border>
        <left/>
        <right style="thin">
          <color auto="1"/>
        </right>
        <top style="thin">
          <color auto="1"/>
        </top>
        <bottom style="thin">
          <color auto="1"/>
        </bottom>
      </border>
      <protection locked="0" hidden="1"/>
    </dxf>
    <dxf>
      <numFmt numFmtId="164" formatCode="_ * #,##0_ ;_ * \-#,##0_ ;_ * &quot;-&quot;??_ ;_ @_ "/>
      <fill>
        <patternFill patternType="solid">
          <bgColor theme="0"/>
        </patternFill>
      </fill>
      <alignment horizontal="general" vertical="center" textRotation="0" wrapText="0" shrinkToFit="0" readingOrder="2"/>
      <border>
        <left style="thin">
          <color auto="1"/>
        </left>
        <right style="thin">
          <color auto="1"/>
        </right>
        <top/>
        <bottom/>
      </border>
    </dxf>
    <dxf>
      <font>
        <b/>
        <i val="0"/>
        <strike val="0"/>
        <u val="none"/>
        <sz val="11"/>
        <color indexed="8"/>
        <name val="Arial"/>
      </font>
      <numFmt numFmtId="0" formatCode="General"/>
      <fill>
        <patternFill patternType="solid">
          <bgColor theme="0"/>
        </patternFill>
      </fill>
      <alignment horizontal="center" vertical="center" textRotation="0" wrapText="0" shrinkToFit="0" readingOrder="2"/>
      <border>
        <left/>
        <right style="thin">
          <color auto="1"/>
        </right>
        <top style="thin">
          <color auto="1"/>
        </top>
        <bottom style="thin">
          <color auto="1"/>
        </bottom>
      </border>
      <protection locked="0" hidden="1"/>
    </dxf>
    <dxf>
      <border>
        <top style="thin">
          <color auto="1"/>
        </top>
      </border>
    </dxf>
    <dxf>
      <numFmt numFmtId="164" formatCode="_ * #,##0_ ;_ * \-#,##0_ ;_ * &quot;-&quot;??_ ;_ @_ "/>
    </dxf>
    <dxf>
      <border>
        <left style="thin">
          <color auto="1"/>
        </left>
        <right style="thin">
          <color auto="1"/>
        </right>
        <top style="thin">
          <color auto="1"/>
        </top>
        <bottom style="thin">
          <color auto="1"/>
        </bottom>
      </border>
    </dxf>
    <dxf>
      <numFmt numFmtId="0" formatCode="General"/>
      <alignment horizontal="center" vertical="center" textRotation="0" shrinkToFit="0"/>
      <protection locked="0" hidden="1"/>
    </dxf>
    <dxf>
      <border>
        <bottom style="thin">
          <color auto="1"/>
        </bottom>
      </border>
    </dxf>
    <dxf>
      <font>
        <b/>
        <i val="0"/>
        <strike val="0"/>
        <u val="none"/>
        <sz val="11"/>
        <color auto="1"/>
        <name val="Arial"/>
      </font>
      <numFmt numFmtId="0" formatCode="General"/>
      <fill>
        <patternFill patternType="solid">
          <bgColor theme="0"/>
        </patternFill>
      </fill>
      <alignment horizontal="center" vertical="center" textRotation="0" wrapText="1" shrinkToFit="0" readingOrder="2"/>
      <border>
        <left style="thin">
          <color auto="1"/>
        </left>
        <right style="thin">
          <color auto="1"/>
        </right>
        <top/>
        <bottom/>
        <vertical style="thin">
          <color auto="1"/>
        </vertical>
        <horizontal style="thin">
          <color auto="1"/>
        </horizontal>
      </border>
      <protection locked="0" hidden="1"/>
    </dxf>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10</xdr:col>
      <xdr:colOff>485775</xdr:colOff>
      <xdr:row>1</xdr:row>
      <xdr:rowOff>123825</xdr:rowOff>
    </xdr:from>
    <xdr:to>
      <xdr:col>12</xdr:col>
      <xdr:colOff>333375</xdr:colOff>
      <xdr:row>5</xdr:row>
      <xdr:rowOff>238125</xdr:rowOff>
    </xdr:to>
    <xdr:pic>
      <xdr:nvPicPr>
        <xdr:cNvPr id="4" name="תמונה 3" descr="לוגו קרנות - כיתוב תחתון - עברית">
          <a:extLst>
            <a:ext uri="{FF2B5EF4-FFF2-40B4-BE49-F238E27FC236}">
              <a16:creationId xmlns:a16="http://schemas.microsoft.com/office/drawing/2014/main" id="{45D2D9B1-041F-409A-9881-F7A79D3CA94E}"/>
            </a:ext>
          </a:extLst>
        </xdr:cNvPr>
        <xdr:cNvPicPr>
          <a:picLocks noChangeAspect="1"/>
        </xdr:cNvPicPr>
      </xdr:nvPicPr>
      <xdr:blipFill>
        <a:blip xmlns:r="http://schemas.openxmlformats.org/officeDocument/2006/relationships" r:embed="rId1"/>
        <a:stretch>
          <a:fillRect/>
        </a:stretch>
      </xdr:blipFill>
      <xdr:spPr bwMode="auto">
        <a:xfrm>
          <a:off x="6591300" y="314325"/>
          <a:ext cx="1219200" cy="12287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438150</xdr:colOff>
      <xdr:row>0</xdr:row>
      <xdr:rowOff>104775</xdr:rowOff>
    </xdr:from>
    <xdr:to>
      <xdr:col>1</xdr:col>
      <xdr:colOff>1924050</xdr:colOff>
      <xdr:row>6</xdr:row>
      <xdr:rowOff>0</xdr:rowOff>
    </xdr:to>
    <xdr:pic>
      <xdr:nvPicPr>
        <xdr:cNvPr id="2" name="תמונה 2">
          <a:extLst>
            <a:ext uri="{FF2B5EF4-FFF2-40B4-BE49-F238E27FC236}">
              <a16:creationId xmlns:a16="http://schemas.microsoft.com/office/drawing/2014/main" id="{CC1BA0F4-65AA-402D-B5A0-BC018B793A23}"/>
            </a:ext>
          </a:extLst>
        </xdr:cNvPr>
        <xdr:cNvPicPr>
          <a:picLocks noChangeAspect="1"/>
        </xdr:cNvPicPr>
      </xdr:nvPicPr>
      <xdr:blipFill>
        <a:blip xmlns:r="http://schemas.openxmlformats.org/officeDocument/2006/relationships" r:embed="rId1"/>
        <a:stretch>
          <a:fillRect/>
        </a:stretch>
      </xdr:blipFill>
      <xdr:spPr bwMode="auto">
        <a:xfrm>
          <a:off x="657225" y="104775"/>
          <a:ext cx="1485900" cy="14287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438150</xdr:colOff>
      <xdr:row>0</xdr:row>
      <xdr:rowOff>104775</xdr:rowOff>
    </xdr:from>
    <xdr:to>
      <xdr:col>1</xdr:col>
      <xdr:colOff>1924050</xdr:colOff>
      <xdr:row>4</xdr:row>
      <xdr:rowOff>38100</xdr:rowOff>
    </xdr:to>
    <xdr:pic>
      <xdr:nvPicPr>
        <xdr:cNvPr id="2" name="תמונה 2">
          <a:extLst>
            <a:ext uri="{FF2B5EF4-FFF2-40B4-BE49-F238E27FC236}">
              <a16:creationId xmlns:a16="http://schemas.microsoft.com/office/drawing/2014/main" id="{F0F6DB42-662B-4D7C-8E7F-393D768EEB23}"/>
            </a:ext>
          </a:extLst>
        </xdr:cNvPr>
        <xdr:cNvPicPr>
          <a:picLocks noChangeAspect="1"/>
        </xdr:cNvPicPr>
      </xdr:nvPicPr>
      <xdr:blipFill>
        <a:blip xmlns:r="http://schemas.openxmlformats.org/officeDocument/2006/relationships" r:embed="rId1"/>
        <a:stretch>
          <a:fillRect/>
        </a:stretch>
      </xdr:blipFill>
      <xdr:spPr bwMode="auto">
        <a:xfrm>
          <a:off x="657225" y="104775"/>
          <a:ext cx="1485900" cy="10287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53340</xdr:colOff>
      <xdr:row>0</xdr:row>
      <xdr:rowOff>101843</xdr:rowOff>
    </xdr:from>
    <xdr:to>
      <xdr:col>1</xdr:col>
      <xdr:colOff>1436308</xdr:colOff>
      <xdr:row>6</xdr:row>
      <xdr:rowOff>29051</xdr:rowOff>
    </xdr:to>
    <xdr:pic>
      <xdr:nvPicPr>
        <xdr:cNvPr id="2" name="תמונה 1">
          <a:extLst>
            <a:ext uri="{FF2B5EF4-FFF2-40B4-BE49-F238E27FC236}">
              <a16:creationId xmlns:a16="http://schemas.microsoft.com/office/drawing/2014/main" id="{A66A0BF5-4F33-4A9D-97F4-DFE772C1DE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276225" y="104775"/>
          <a:ext cx="1381125" cy="1066800"/>
        </a:xfrm>
        <a:prstGeom prst="rect">
          <a:avLst/>
        </a:prstGeom>
        <a:noFill/>
        <a:ln>
          <a:noFill/>
        </a:ln>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תקן" displayName="תקן" ref="B10:M97" totalsRowShown="0" headerRowDxfId="41" dataDxfId="39" totalsRowDxfId="37" headerRowBorderDxfId="40" tableBorderDxfId="38" totalsRowBorderDxfId="36" headerRowCellStyle="Comma" dataCellStyle="Comma">
  <autoFilter ref="B10:M97" xr:uid="{00000000-0009-0000-0100-000004000000}"/>
  <sortState xmlns:xlrd2="http://schemas.microsoft.com/office/spreadsheetml/2017/richdata2" ref="B11:M97">
    <sortCondition ref="B11:B97"/>
  </sortState>
  <tableColumns count="12">
    <tableColumn id="3" xr3:uid="{00000000-0010-0000-0000-000003000000}" name="סוג פריט" dataDxfId="35" totalsRowDxfId="34" dataCellStyle="Comma"/>
    <tableColumn id="4" xr3:uid="{00000000-0010-0000-0000-000004000000}" name="מיקום" dataDxfId="33" totalsRowDxfId="32" dataCellStyle="Comma"/>
    <tableColumn id="5" xr3:uid="{00000000-0010-0000-0000-000005000000}" name="תיאור הפריט" dataDxfId="31" totalsRowDxfId="30" dataCellStyle="Comma"/>
    <tableColumn id="2" xr3:uid="{00000000-0010-0000-0000-000002000000}" name="כמות" dataDxfId="29" totalsRowDxfId="28" dataCellStyle="Comma"/>
    <tableColumn id="6" xr3:uid="{00000000-0010-0000-0000-000006000000}" name="עלות פריט" dataDxfId="27" totalsRowDxfId="26" dataCellStyle="Comma"/>
    <tableColumn id="8" xr3:uid="{00000000-0010-0000-0000-000008000000}" name="סהכ עלות" dataDxfId="25" dataCellStyle="Comma"/>
    <tableColumn id="9" xr3:uid="{00000000-0010-0000-0000-000009000000}" name="לפי מקבל שירות" dataDxfId="24" totalsRowDxfId="23" dataCellStyle="Comma"/>
    <tableColumn id="10" xr3:uid="{00000000-0010-0000-0000-00000A000000}" name="קטן" dataDxfId="22" totalsRowDxfId="21" dataCellStyle="Comma"/>
    <tableColumn id="11" xr3:uid="{00000000-0010-0000-0000-00000B000000}" name="בינוני" dataDxfId="20" totalsRowDxfId="19" dataCellStyle="Comma"/>
    <tableColumn id="12" xr3:uid="{00000000-0010-0000-0000-00000C000000}" name="גדול" dataDxfId="18" totalsRowDxfId="17" dataCellStyle="Comma"/>
    <tableColumn id="1" xr3:uid="{00000000-0010-0000-0000-000001000000}" name="הערות" dataDxfId="16" totalsRowDxfId="15" dataCellStyle="Comma"/>
    <tableColumn id="14" xr3:uid="{00000000-0010-0000-0000-00000E000000}" name="הסבר לנוסחא" dataDxfId="14" dataCellStyle="Comma"/>
  </tableColumns>
  <tableStyleInfo name="TableStyleLight11" showFirstColumn="0" showLastColumn="1" showRowStripes="1" showColumnStripes="1"/>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7646D-1115-4066-B78C-86FC4762BD88}">
  <dimension ref="A1:M34"/>
  <sheetViews>
    <sheetView showGridLines="0" rightToLeft="1" tabSelected="1" workbookViewId="0"/>
  </sheetViews>
  <sheetFormatPr defaultColWidth="9" defaultRowHeight="14.25"/>
  <cols>
    <col min="1" max="1" width="4" style="35" customWidth="1"/>
    <col min="2" max="2" width="9" style="35"/>
    <col min="3" max="3" width="9.125" style="35" customWidth="1"/>
    <col min="4" max="5" width="7.125" style="35" customWidth="1"/>
    <col min="6" max="8" width="7.625" style="35" customWidth="1"/>
    <col min="9" max="9" width="11.875" style="35" customWidth="1"/>
    <col min="10" max="16384" width="9" style="35"/>
  </cols>
  <sheetData>
    <row r="1" spans="1:13" ht="15" thickBot="1"/>
    <row r="2" spans="1:13" s="40" customFormat="1" ht="15">
      <c r="A2" s="36"/>
      <c r="B2" s="37"/>
      <c r="C2" s="38"/>
      <c r="D2" s="38"/>
      <c r="E2" s="38"/>
      <c r="F2" s="38"/>
      <c r="G2" s="38"/>
      <c r="H2" s="38"/>
      <c r="I2" s="38"/>
      <c r="J2" s="38"/>
      <c r="K2" s="38"/>
      <c r="L2" s="38"/>
      <c r="M2" s="39"/>
    </row>
    <row r="3" spans="1:13" s="40" customFormat="1" ht="26.25">
      <c r="A3" s="36"/>
      <c r="B3" s="3" t="s">
        <v>181</v>
      </c>
      <c r="C3" s="2"/>
      <c r="D3" s="2"/>
      <c r="E3" s="2"/>
      <c r="F3" s="2"/>
      <c r="G3" s="2"/>
      <c r="H3" s="2"/>
      <c r="I3" s="2"/>
      <c r="J3" s="2"/>
      <c r="K3" s="2"/>
      <c r="L3" s="2"/>
      <c r="M3" s="1"/>
    </row>
    <row r="4" spans="1:13" s="40" customFormat="1" ht="23.25">
      <c r="A4" s="36"/>
      <c r="B4" s="41"/>
      <c r="C4" s="34"/>
      <c r="D4" s="34"/>
      <c r="E4" s="34"/>
      <c r="F4" s="34"/>
      <c r="G4" s="34"/>
      <c r="H4" s="34"/>
      <c r="I4" s="34"/>
      <c r="J4" s="36"/>
      <c r="K4" s="36"/>
      <c r="L4" s="36"/>
      <c r="M4" s="42"/>
    </row>
    <row r="5" spans="1:13" s="40" customFormat="1" ht="23.25">
      <c r="A5" s="36"/>
      <c r="B5" s="529" t="s">
        <v>168</v>
      </c>
      <c r="C5" s="530"/>
      <c r="D5" s="530"/>
      <c r="E5" s="530"/>
      <c r="F5" s="530"/>
      <c r="G5" s="530"/>
      <c r="H5" s="530"/>
      <c r="I5" s="530"/>
      <c r="J5" s="530"/>
      <c r="K5" s="530"/>
      <c r="L5" s="530"/>
      <c r="M5" s="531"/>
    </row>
    <row r="6" spans="1:13" s="40" customFormat="1" ht="23.25">
      <c r="A6" s="36"/>
      <c r="B6" s="529" t="s">
        <v>169</v>
      </c>
      <c r="C6" s="530"/>
      <c r="D6" s="530"/>
      <c r="E6" s="530"/>
      <c r="F6" s="530"/>
      <c r="G6" s="530"/>
      <c r="H6" s="530"/>
      <c r="I6" s="530"/>
      <c r="J6" s="530"/>
      <c r="K6" s="530"/>
      <c r="L6" s="530"/>
      <c r="M6" s="531"/>
    </row>
    <row r="7" spans="1:13" s="40" customFormat="1" ht="24" customHeight="1">
      <c r="A7" s="36"/>
      <c r="B7" s="41"/>
      <c r="C7" s="43"/>
      <c r="D7" s="36"/>
      <c r="E7" s="36"/>
      <c r="F7" s="36"/>
      <c r="G7" s="36"/>
      <c r="H7" s="36"/>
      <c r="I7" s="36"/>
      <c r="J7" s="36"/>
      <c r="K7" s="36"/>
      <c r="L7" s="36"/>
      <c r="M7" s="42"/>
    </row>
    <row r="8" spans="1:13" s="40" customFormat="1" ht="30" customHeight="1">
      <c r="A8" s="36"/>
      <c r="B8" s="529" t="s">
        <v>445</v>
      </c>
      <c r="C8" s="530"/>
      <c r="D8" s="530"/>
      <c r="E8" s="530"/>
      <c r="F8" s="530"/>
      <c r="G8" s="530"/>
      <c r="H8" s="530"/>
      <c r="I8" s="530"/>
      <c r="J8" s="530"/>
      <c r="K8" s="530"/>
      <c r="L8" s="530"/>
      <c r="M8" s="531"/>
    </row>
    <row r="9" spans="1:13" ht="7.5" customHeight="1">
      <c r="B9" s="44"/>
      <c r="M9" s="45"/>
    </row>
    <row r="10" spans="1:13" ht="18" customHeight="1">
      <c r="B10" s="532" t="s">
        <v>170</v>
      </c>
      <c r="C10" s="533"/>
      <c r="D10" s="533"/>
      <c r="E10" s="533"/>
      <c r="F10" s="533"/>
      <c r="G10" s="533"/>
      <c r="H10" s="533"/>
      <c r="I10" s="533"/>
      <c r="J10" s="533"/>
      <c r="K10" s="533"/>
      <c r="L10" s="533"/>
      <c r="M10" s="534"/>
    </row>
    <row r="11" spans="1:13">
      <c r="B11" s="532"/>
      <c r="C11" s="533"/>
      <c r="D11" s="533"/>
      <c r="E11" s="533"/>
      <c r="F11" s="533"/>
      <c r="G11" s="533"/>
      <c r="H11" s="533"/>
      <c r="I11" s="533"/>
      <c r="J11" s="533"/>
      <c r="K11" s="533"/>
      <c r="L11" s="533"/>
      <c r="M11" s="534"/>
    </row>
    <row r="12" spans="1:13">
      <c r="B12" s="532"/>
      <c r="C12" s="533"/>
      <c r="D12" s="533"/>
      <c r="E12" s="533"/>
      <c r="F12" s="533"/>
      <c r="G12" s="533"/>
      <c r="H12" s="533"/>
      <c r="I12" s="533"/>
      <c r="J12" s="533"/>
      <c r="K12" s="533"/>
      <c r="L12" s="533"/>
      <c r="M12" s="534"/>
    </row>
    <row r="13" spans="1:13">
      <c r="B13" s="532"/>
      <c r="C13" s="533"/>
      <c r="D13" s="533"/>
      <c r="E13" s="533"/>
      <c r="F13" s="533"/>
      <c r="G13" s="533"/>
      <c r="H13" s="533"/>
      <c r="I13" s="533"/>
      <c r="J13" s="533"/>
      <c r="K13" s="533"/>
      <c r="L13" s="533"/>
      <c r="M13" s="534"/>
    </row>
    <row r="14" spans="1:13">
      <c r="B14" s="532"/>
      <c r="C14" s="533"/>
      <c r="D14" s="533"/>
      <c r="E14" s="533"/>
      <c r="F14" s="533"/>
      <c r="G14" s="533"/>
      <c r="H14" s="533"/>
      <c r="I14" s="533"/>
      <c r="J14" s="533"/>
      <c r="K14" s="533"/>
      <c r="L14" s="533"/>
      <c r="M14" s="534"/>
    </row>
    <row r="15" spans="1:13" ht="36.75" customHeight="1">
      <c r="B15" s="532"/>
      <c r="C15" s="533"/>
      <c r="D15" s="533"/>
      <c r="E15" s="533"/>
      <c r="F15" s="533"/>
      <c r="G15" s="533"/>
      <c r="H15" s="533"/>
      <c r="I15" s="533"/>
      <c r="J15" s="533"/>
      <c r="K15" s="533"/>
      <c r="L15" s="533"/>
      <c r="M15" s="534"/>
    </row>
    <row r="16" spans="1:13" ht="15" customHeight="1">
      <c r="B16" s="46"/>
      <c r="C16" s="47"/>
      <c r="D16" s="47"/>
      <c r="E16" s="47"/>
      <c r="F16" s="47"/>
      <c r="G16" s="47"/>
      <c r="H16" s="47"/>
      <c r="I16" s="47"/>
      <c r="J16" s="47"/>
      <c r="K16" s="47"/>
      <c r="L16" s="47"/>
      <c r="M16" s="48"/>
    </row>
    <row r="17" spans="2:13" ht="15" customHeight="1">
      <c r="B17" s="49"/>
      <c r="C17" s="47"/>
      <c r="D17" s="47"/>
      <c r="E17" s="47"/>
      <c r="F17" s="47"/>
      <c r="G17" s="47"/>
      <c r="H17" s="47"/>
      <c r="I17" s="47"/>
      <c r="J17" s="47"/>
      <c r="K17" s="47"/>
      <c r="L17" s="47"/>
      <c r="M17" s="48"/>
    </row>
    <row r="18" spans="2:13" ht="26.25" customHeight="1">
      <c r="B18" s="49"/>
      <c r="C18" s="47"/>
      <c r="D18" s="538" t="s">
        <v>250</v>
      </c>
      <c r="E18" s="538"/>
      <c r="F18" s="538"/>
      <c r="G18" s="538"/>
      <c r="H18" s="538"/>
      <c r="I18" s="538"/>
      <c r="J18" s="47"/>
      <c r="K18" s="47"/>
      <c r="L18" s="47"/>
      <c r="M18" s="48"/>
    </row>
    <row r="19" spans="2:13" ht="19.5" customHeight="1">
      <c r="B19" s="20"/>
      <c r="C19" s="12" t="s">
        <v>433</v>
      </c>
      <c r="D19" s="12"/>
      <c r="E19" s="12"/>
      <c r="F19" s="12"/>
      <c r="G19" s="12"/>
      <c r="H19" s="12"/>
      <c r="I19" s="12"/>
      <c r="J19" s="12"/>
      <c r="K19" s="50"/>
      <c r="L19" s="50"/>
      <c r="M19" s="51"/>
    </row>
    <row r="20" spans="2:13" ht="23.25" customHeight="1">
      <c r="B20" s="21"/>
      <c r="C20" s="47"/>
      <c r="D20" s="535" t="s">
        <v>178</v>
      </c>
      <c r="E20" s="537"/>
      <c r="F20" s="535" t="s">
        <v>179</v>
      </c>
      <c r="G20" s="537"/>
      <c r="H20" s="535" t="s">
        <v>180</v>
      </c>
      <c r="I20" s="537"/>
      <c r="J20" s="47"/>
      <c r="K20" s="47"/>
      <c r="L20" s="47"/>
      <c r="M20" s="48"/>
    </row>
    <row r="21" spans="2:13" ht="22.5" customHeight="1">
      <c r="B21" s="20"/>
      <c r="D21" s="14" t="s">
        <v>343</v>
      </c>
      <c r="E21" s="13"/>
      <c r="F21" s="14" t="s">
        <v>263</v>
      </c>
      <c r="G21" s="13"/>
      <c r="H21" s="14" t="s">
        <v>264</v>
      </c>
      <c r="I21" s="13"/>
      <c r="M21" s="45"/>
    </row>
    <row r="22" spans="2:13" ht="23.25" customHeight="1">
      <c r="B22" s="20"/>
      <c r="D22" s="535" t="s">
        <v>265</v>
      </c>
      <c r="E22" s="536"/>
      <c r="F22" s="536"/>
      <c r="G22" s="536"/>
      <c r="H22" s="536"/>
      <c r="I22" s="537"/>
      <c r="M22" s="45"/>
    </row>
    <row r="23" spans="2:13" ht="15.75" customHeight="1">
      <c r="B23" s="22"/>
      <c r="M23" s="45"/>
    </row>
    <row r="24" spans="2:13" ht="18.75" customHeight="1">
      <c r="B24" s="23"/>
      <c r="C24" s="24"/>
      <c r="D24" s="5" t="s">
        <v>444</v>
      </c>
      <c r="E24" s="4"/>
      <c r="F24" s="4"/>
      <c r="G24" s="4"/>
      <c r="H24" s="4"/>
      <c r="I24" s="4"/>
      <c r="J24" s="4"/>
      <c r="K24" s="4"/>
      <c r="L24" s="24"/>
      <c r="M24" s="25"/>
    </row>
    <row r="25" spans="2:13">
      <c r="B25" s="44"/>
      <c r="M25" s="45"/>
    </row>
    <row r="26" spans="2:13" ht="20.25" customHeight="1">
      <c r="B26" s="11" t="s">
        <v>171</v>
      </c>
      <c r="C26" s="7"/>
      <c r="D26" s="7"/>
      <c r="E26" s="7"/>
      <c r="F26" s="7"/>
      <c r="G26" s="7"/>
      <c r="H26" s="7"/>
      <c r="I26" s="7"/>
      <c r="J26" s="7"/>
      <c r="K26" s="7"/>
      <c r="L26" s="7"/>
      <c r="M26" s="6"/>
    </row>
    <row r="27" spans="2:13" ht="22.5" customHeight="1">
      <c r="B27" s="8" t="s">
        <v>173</v>
      </c>
      <c r="C27" s="7"/>
      <c r="D27" s="7"/>
      <c r="E27" s="7"/>
      <c r="F27" s="7"/>
      <c r="G27" s="7"/>
      <c r="H27" s="7"/>
      <c r="I27" s="7"/>
      <c r="J27" s="7"/>
      <c r="K27" s="7"/>
      <c r="L27" s="7"/>
      <c r="M27" s="6"/>
    </row>
    <row r="28" spans="2:13" ht="42.75" customHeight="1">
      <c r="B28" s="8" t="s">
        <v>172</v>
      </c>
      <c r="C28" s="7"/>
      <c r="D28" s="7"/>
      <c r="E28" s="7"/>
      <c r="F28" s="7"/>
      <c r="G28" s="7"/>
      <c r="H28" s="7"/>
      <c r="I28" s="7"/>
      <c r="J28" s="7"/>
      <c r="K28" s="7"/>
      <c r="L28" s="7"/>
      <c r="M28" s="6"/>
    </row>
    <row r="29" spans="2:13" ht="20.25" customHeight="1">
      <c r="B29" s="8" t="s">
        <v>174</v>
      </c>
      <c r="C29" s="7"/>
      <c r="D29" s="7"/>
      <c r="E29" s="7"/>
      <c r="F29" s="7"/>
      <c r="G29" s="7"/>
      <c r="H29" s="7"/>
      <c r="I29" s="7"/>
      <c r="J29" s="7"/>
      <c r="K29" s="7"/>
      <c r="L29" s="7"/>
      <c r="M29" s="6"/>
    </row>
    <row r="30" spans="2:13" ht="20.25" customHeight="1">
      <c r="B30" s="8" t="s">
        <v>175</v>
      </c>
      <c r="C30" s="7"/>
      <c r="D30" s="7"/>
      <c r="E30" s="7"/>
      <c r="F30" s="7"/>
      <c r="G30" s="7"/>
      <c r="H30" s="7"/>
      <c r="I30" s="7"/>
      <c r="J30" s="7"/>
      <c r="K30" s="7"/>
      <c r="L30" s="7"/>
      <c r="M30" s="6"/>
    </row>
    <row r="31" spans="2:13" ht="24.75" customHeight="1">
      <c r="B31" s="11" t="s">
        <v>177</v>
      </c>
      <c r="C31" s="10"/>
      <c r="D31" s="10"/>
      <c r="E31" s="10"/>
      <c r="F31" s="10"/>
      <c r="G31" s="10"/>
      <c r="H31" s="10"/>
      <c r="I31" s="10"/>
      <c r="J31" s="10"/>
      <c r="K31" s="10"/>
      <c r="L31" s="10"/>
      <c r="M31" s="9"/>
    </row>
    <row r="32" spans="2:13" ht="40.5" customHeight="1">
      <c r="B32" s="8" t="s">
        <v>176</v>
      </c>
      <c r="C32" s="7"/>
      <c r="D32" s="7"/>
      <c r="E32" s="7"/>
      <c r="F32" s="7"/>
      <c r="G32" s="7"/>
      <c r="H32" s="7"/>
      <c r="I32" s="7"/>
      <c r="J32" s="7"/>
      <c r="K32" s="7"/>
      <c r="L32" s="7"/>
      <c r="M32" s="6"/>
    </row>
    <row r="33" spans="2:13" ht="18.75" thickBot="1">
      <c r="B33" s="11" t="s">
        <v>453</v>
      </c>
      <c r="C33" s="10"/>
      <c r="D33" s="10"/>
      <c r="E33" s="10"/>
      <c r="F33" s="10"/>
      <c r="G33" s="10"/>
      <c r="H33" s="10"/>
      <c r="I33" s="10"/>
      <c r="J33" s="10"/>
      <c r="K33" s="10"/>
      <c r="L33" s="10"/>
      <c r="M33" s="9"/>
    </row>
    <row r="34" spans="2:13" ht="37.5" customHeight="1" thickBot="1">
      <c r="B34" s="527" t="s">
        <v>452</v>
      </c>
      <c r="C34" s="527"/>
      <c r="D34" s="527"/>
      <c r="E34" s="527"/>
      <c r="F34" s="527"/>
      <c r="G34" s="527"/>
      <c r="H34" s="527"/>
      <c r="I34" s="527"/>
      <c r="J34" s="527"/>
      <c r="K34" s="527"/>
      <c r="L34" s="527"/>
      <c r="M34" s="528"/>
    </row>
  </sheetData>
  <sheetProtection algorithmName="SHA-512" hashValue="M63dvDMP3wtArqNlk0JsmxKlZzhk/3BYNK1i9PkZa8plhflEU+bLvDtayN7SOsGhoal5hylnAH1hEKlrTzMTYw==" saltValue="Liq+Rzz1/9Znl8N2EbMBbw==" spinCount="100000" sheet="1" objects="1" scenarios="1"/>
  <mergeCells count="24">
    <mergeCell ref="B33:M33"/>
    <mergeCell ref="B3:M3"/>
    <mergeCell ref="B34:M34"/>
    <mergeCell ref="B26:M26"/>
    <mergeCell ref="B8:M8"/>
    <mergeCell ref="B5:M5"/>
    <mergeCell ref="B6:M6"/>
    <mergeCell ref="B10:M15"/>
    <mergeCell ref="D22:I22"/>
    <mergeCell ref="D18:I18"/>
    <mergeCell ref="D20:E20"/>
    <mergeCell ref="F20:G20"/>
    <mergeCell ref="H20:I20"/>
    <mergeCell ref="D21:E21"/>
    <mergeCell ref="F21:G21"/>
    <mergeCell ref="H21:I21"/>
    <mergeCell ref="C19:J19"/>
    <mergeCell ref="B31:M31"/>
    <mergeCell ref="B32:M32"/>
    <mergeCell ref="B27:M27"/>
    <mergeCell ref="B28:M28"/>
    <mergeCell ref="B29:M29"/>
    <mergeCell ref="B30:M30"/>
    <mergeCell ref="D24:K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1522-5D64-4507-AE15-7B64274FC0A4}">
  <dimension ref="A2:E24"/>
  <sheetViews>
    <sheetView showGridLines="0" rightToLeft="1" workbookViewId="0">
      <selection activeCell="C24" sqref="C24"/>
    </sheetView>
  </sheetViews>
  <sheetFormatPr defaultColWidth="9" defaultRowHeight="15"/>
  <cols>
    <col min="1" max="1" width="3.875" style="57" customWidth="1"/>
    <col min="2" max="2" width="46.125" style="58" customWidth="1"/>
    <col min="3" max="3" width="25.375" style="58" customWidth="1"/>
    <col min="4" max="4" width="19.25" style="57" customWidth="1"/>
    <col min="5" max="5" width="9.125" style="57" customWidth="1"/>
    <col min="6" max="16384" width="9" style="59"/>
  </cols>
  <sheetData>
    <row r="2" spans="1:5" ht="23.25">
      <c r="B2" s="520" t="s">
        <v>456</v>
      </c>
      <c r="C2" s="519" t="str">
        <f>IF(COUNTBLANK(C5:C24)&gt;0,"חסרים שדות חובה בשאלון!","כל השדות מולאו")</f>
        <v>חסרים שדות חובה בשאלון!</v>
      </c>
      <c r="D2" s="519"/>
    </row>
    <row r="3" spans="1:5" ht="15.75" thickBot="1"/>
    <row r="4" spans="1:5" ht="18.75" thickBot="1">
      <c r="B4" s="539" t="s">
        <v>340</v>
      </c>
      <c r="C4" s="540"/>
      <c r="D4" s="541"/>
      <c r="E4" s="59"/>
    </row>
    <row r="5" spans="1:5" ht="19.5" thickTop="1" thickBot="1">
      <c r="A5" s="60"/>
      <c r="B5" s="228" t="s">
        <v>81</v>
      </c>
      <c r="C5" s="508"/>
      <c r="D5" s="229" t="str">
        <f t="shared" ref="D5:D7" si="0">IF(C5="","יש למלא","")</f>
        <v>יש למלא</v>
      </c>
      <c r="E5" s="60"/>
    </row>
    <row r="6" spans="1:5" ht="19.5" thickTop="1" thickBot="1">
      <c r="A6" s="60"/>
      <c r="B6" s="516" t="s">
        <v>268</v>
      </c>
      <c r="C6" s="518" t="s">
        <v>455</v>
      </c>
      <c r="D6" s="517"/>
      <c r="E6" s="60"/>
    </row>
    <row r="7" spans="1:5" ht="19.5" thickTop="1" thickBot="1">
      <c r="A7" s="60"/>
      <c r="B7" s="230" t="s">
        <v>235</v>
      </c>
      <c r="C7" s="231"/>
      <c r="D7" s="232" t="str">
        <f t="shared" si="0"/>
        <v>יש למלא</v>
      </c>
      <c r="E7" s="60"/>
    </row>
    <row r="8" spans="1:5" ht="19.5" thickTop="1" thickBot="1">
      <c r="A8" s="60"/>
      <c r="B8" s="230" t="s">
        <v>266</v>
      </c>
      <c r="C8" s="231"/>
      <c r="D8" s="232" t="str">
        <f>IF(C8="","יש למלא","")</f>
        <v>יש למלא</v>
      </c>
      <c r="E8" s="60"/>
    </row>
    <row r="9" spans="1:5" ht="19.5" thickTop="1" thickBot="1">
      <c r="A9" s="60"/>
      <c r="B9" s="27" t="s">
        <v>236</v>
      </c>
      <c r="C9" s="233"/>
      <c r="D9" s="234" t="str">
        <f t="shared" ref="D9:D23" si="1">IF(C9="","יש למלא","")</f>
        <v>יש למלא</v>
      </c>
      <c r="E9" s="60"/>
    </row>
    <row r="10" spans="1:5" ht="18.75" thickBot="1">
      <c r="A10" s="60"/>
      <c r="B10" s="228" t="s">
        <v>84</v>
      </c>
      <c r="C10" s="235"/>
      <c r="D10" s="229" t="str">
        <f t="shared" si="1"/>
        <v>יש למלא</v>
      </c>
      <c r="E10" s="60"/>
    </row>
    <row r="11" spans="1:5" ht="19.5" thickTop="1" thickBot="1">
      <c r="A11" s="60"/>
      <c r="B11" s="27" t="s">
        <v>93</v>
      </c>
      <c r="C11" s="233"/>
      <c r="D11" s="234" t="str">
        <f t="shared" si="1"/>
        <v>יש למלא</v>
      </c>
      <c r="E11" s="60"/>
    </row>
    <row r="12" spans="1:5" ht="19.5" thickTop="1" thickBot="1">
      <c r="A12" s="60"/>
      <c r="B12" s="516" t="s">
        <v>261</v>
      </c>
      <c r="C12" s="518" t="s">
        <v>455</v>
      </c>
      <c r="D12" s="517"/>
      <c r="E12" s="60"/>
    </row>
    <row r="13" spans="1:5" ht="19.5" thickTop="1" thickBot="1">
      <c r="A13" s="60"/>
      <c r="B13" s="26" t="s">
        <v>237</v>
      </c>
      <c r="C13" s="91"/>
      <c r="D13" s="234" t="str">
        <f t="shared" si="1"/>
        <v>יש למלא</v>
      </c>
      <c r="E13" s="60"/>
    </row>
    <row r="14" spans="1:5" ht="19.5" thickTop="1" thickBot="1">
      <c r="A14" s="60"/>
      <c r="B14" s="26" t="s">
        <v>15</v>
      </c>
      <c r="C14" s="91"/>
      <c r="D14" s="234" t="str">
        <f t="shared" si="1"/>
        <v>יש למלא</v>
      </c>
      <c r="E14" s="60"/>
    </row>
    <row r="15" spans="1:5" ht="19.5" thickTop="1" thickBot="1">
      <c r="A15" s="60"/>
      <c r="B15" s="27" t="s">
        <v>262</v>
      </c>
      <c r="C15" s="92">
        <f>SUM(C13:C14)</f>
        <v>0</v>
      </c>
      <c r="D15" s="234" t="s">
        <v>234</v>
      </c>
      <c r="E15" s="60"/>
    </row>
    <row r="16" spans="1:5" ht="19.5" thickTop="1" thickBot="1">
      <c r="A16" s="60"/>
      <c r="B16" s="516" t="s">
        <v>267</v>
      </c>
      <c r="C16" s="518" t="s">
        <v>455</v>
      </c>
      <c r="D16" s="517"/>
      <c r="E16" s="60"/>
    </row>
    <row r="17" spans="1:5" ht="19.5" thickTop="1" thickBot="1">
      <c r="A17" s="60"/>
      <c r="B17" s="236" t="s">
        <v>238</v>
      </c>
      <c r="C17" s="235"/>
      <c r="D17" s="229" t="str">
        <f t="shared" si="1"/>
        <v>יש למלא</v>
      </c>
      <c r="E17" s="60"/>
    </row>
    <row r="18" spans="1:5" ht="19.5" thickTop="1" thickBot="1">
      <c r="A18" s="60"/>
      <c r="B18" s="237" t="s">
        <v>233</v>
      </c>
      <c r="C18" s="231"/>
      <c r="D18" s="229" t="str">
        <f t="shared" si="1"/>
        <v>יש למלא</v>
      </c>
      <c r="E18" s="60"/>
    </row>
    <row r="19" spans="1:5" ht="19.5" thickTop="1" thickBot="1">
      <c r="A19" s="60"/>
      <c r="B19" s="237" t="s">
        <v>83</v>
      </c>
      <c r="C19" s="509"/>
      <c r="D19" s="232" t="str">
        <f t="shared" si="1"/>
        <v>יש למלא</v>
      </c>
      <c r="E19" s="60"/>
    </row>
    <row r="20" spans="1:5" ht="19.5" thickTop="1" thickBot="1">
      <c r="A20" s="60"/>
      <c r="B20" s="238" t="s">
        <v>82</v>
      </c>
      <c r="C20" s="233"/>
      <c r="D20" s="234" t="str">
        <f t="shared" si="1"/>
        <v>יש למלא</v>
      </c>
      <c r="E20" s="60"/>
    </row>
    <row r="21" spans="1:5" ht="19.5" thickTop="1" thickBot="1">
      <c r="A21" s="60"/>
      <c r="B21" s="516" t="s">
        <v>269</v>
      </c>
      <c r="C21" s="518" t="s">
        <v>455</v>
      </c>
      <c r="D21" s="517"/>
      <c r="E21" s="60"/>
    </row>
    <row r="22" spans="1:5" ht="19.5" thickTop="1" thickBot="1">
      <c r="A22" s="60"/>
      <c r="B22" s="239" t="s">
        <v>232</v>
      </c>
      <c r="C22" s="526"/>
      <c r="D22" s="229" t="str">
        <f t="shared" si="1"/>
        <v>יש למלא</v>
      </c>
      <c r="E22" s="60"/>
    </row>
    <row r="23" spans="1:5" ht="19.5" thickTop="1" thickBot="1">
      <c r="A23" s="60"/>
      <c r="B23" s="240" t="s">
        <v>155</v>
      </c>
      <c r="C23" s="408"/>
      <c r="D23" s="232" t="str">
        <f t="shared" si="1"/>
        <v>יש למלא</v>
      </c>
      <c r="E23" s="60"/>
    </row>
    <row r="24" spans="1:5" ht="35.25" customHeight="1" thickTop="1" thickBot="1">
      <c r="A24" s="60"/>
      <c r="B24" s="241" t="s">
        <v>270</v>
      </c>
      <c r="C24" s="525"/>
      <c r="D24" s="234" t="str">
        <f>IF(C24="","יש למלא","")</f>
        <v>יש למלא</v>
      </c>
      <c r="E24" s="60"/>
    </row>
  </sheetData>
  <sheetProtection algorithmName="SHA-512" hashValue="mzv6oGlfxuINuir4G+xxzAn7FlL0LGpvSTIYxaCyEzuuWYW+jEIoxAWhs7b/1gZWvkuZ3KVl1a5Wp2b5W1ujhw==" saltValue="rcanIaCpug7Sw27wBG4tRg==" spinCount="100000" sheet="1" objects="1" scenarios="1"/>
  <mergeCells count="1">
    <mergeCell ref="B4:D4"/>
  </mergeCells>
  <dataValidations count="3">
    <dataValidation type="list" allowBlank="1" showInputMessage="1" showErrorMessage="1" sqref="C23" xr:uid="{00000000-0002-0000-0100-000000000000}">
      <formula1>"כן, לא"</formula1>
    </dataValidation>
    <dataValidation type="list" allowBlank="1" showInputMessage="1" showErrorMessage="1" sqref="C22" xr:uid="{00000000-0002-0000-0100-000001000000}">
      <formula1>"1,2,3,4,5,6,7,8,9,10"</formula1>
    </dataValidation>
    <dataValidation type="custom" allowBlank="1" showInputMessage="1" showErrorMessage="1" errorTitle="כתובת דוא&quot;ל לא תקינה" error="נא להזין דוא&quot;ל תקין" sqref="C19" xr:uid="{00000000-0002-0000-0100-000002000000}">
      <formula1>AND(COUNTIF(C19,"*@*.*")=1,ISERROR(SEARCH("/",C19)))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7"/>
  <dimension ref="B4:M97"/>
  <sheetViews>
    <sheetView showGridLines="0" rightToLeft="1" topLeftCell="A22" workbookViewId="0">
      <selection activeCell="B41" sqref="B41:B42"/>
    </sheetView>
  </sheetViews>
  <sheetFormatPr defaultColWidth="9" defaultRowHeight="15"/>
  <cols>
    <col min="1" max="1" width="8.375" style="54" customWidth="1"/>
    <col min="2" max="2" width="13" style="409" bestFit="1" customWidth="1"/>
    <col min="3" max="3" width="18.625" style="52" customWidth="1"/>
    <col min="4" max="4" width="35.625" style="53" customWidth="1"/>
    <col min="5" max="5" width="7.625" style="82" customWidth="1"/>
    <col min="6" max="6" width="9.875" style="79" bestFit="1" customWidth="1"/>
    <col min="7" max="7" width="11.875" style="80" bestFit="1" customWidth="1"/>
    <col min="8" max="8" width="8.125" style="54" bestFit="1" customWidth="1"/>
    <col min="9" max="9" width="9.375" style="54" bestFit="1" customWidth="1"/>
    <col min="10" max="10" width="10.375" style="54" customWidth="1"/>
    <col min="11" max="11" width="8.875" style="54" customWidth="1"/>
    <col min="12" max="12" width="24" style="54" customWidth="1"/>
    <col min="13" max="13" width="17" style="413" customWidth="1"/>
    <col min="14" max="16384" width="9" style="54"/>
  </cols>
  <sheetData>
    <row r="4" spans="2:13" ht="15.75" thickBot="1"/>
    <row r="5" spans="2:13" ht="18.75" customHeight="1" thickBot="1">
      <c r="B5" s="542" t="s">
        <v>293</v>
      </c>
      <c r="C5" s="543"/>
      <c r="D5" s="543"/>
      <c r="E5" s="543"/>
      <c r="F5" s="544"/>
      <c r="H5" s="219" t="s">
        <v>388</v>
      </c>
      <c r="I5" s="220"/>
      <c r="J5" s="220"/>
      <c r="K5" s="220"/>
      <c r="L5" s="221"/>
    </row>
    <row r="6" spans="2:13" ht="18.75" thickBot="1">
      <c r="B6" s="545"/>
      <c r="C6" s="546"/>
      <c r="D6" s="546"/>
      <c r="E6" s="546"/>
      <c r="F6" s="547"/>
      <c r="H6" s="218"/>
      <c r="I6" s="218"/>
      <c r="J6" s="218"/>
      <c r="K6" s="218"/>
      <c r="L6" s="217"/>
    </row>
    <row r="7" spans="2:13" s="55" customFormat="1" ht="21" thickBot="1">
      <c r="B7" s="548" t="s">
        <v>301</v>
      </c>
      <c r="C7" s="549"/>
      <c r="D7" s="549"/>
      <c r="E7" s="550">
        <f>שאלון!C15</f>
        <v>0</v>
      </c>
      <c r="F7" s="550"/>
      <c r="G7" s="81"/>
      <c r="M7" s="414"/>
    </row>
    <row r="9" spans="2:13" ht="30">
      <c r="H9" s="80"/>
      <c r="I9" s="54" t="s">
        <v>297</v>
      </c>
      <c r="J9" s="54" t="s">
        <v>295</v>
      </c>
      <c r="K9" s="54" t="s">
        <v>296</v>
      </c>
    </row>
    <row r="10" spans="2:13" ht="45">
      <c r="B10" s="300" t="s">
        <v>85</v>
      </c>
      <c r="C10" s="90" t="s">
        <v>132</v>
      </c>
      <c r="D10" s="301" t="s">
        <v>19</v>
      </c>
      <c r="E10" s="302" t="s">
        <v>36</v>
      </c>
      <c r="F10" s="303" t="s">
        <v>86</v>
      </c>
      <c r="G10" s="303" t="s">
        <v>294</v>
      </c>
      <c r="H10" s="90" t="s">
        <v>332</v>
      </c>
      <c r="I10" s="56" t="s">
        <v>178</v>
      </c>
      <c r="J10" s="56" t="s">
        <v>179</v>
      </c>
      <c r="K10" s="56" t="s">
        <v>180</v>
      </c>
      <c r="L10" s="90" t="s">
        <v>328</v>
      </c>
      <c r="M10" s="415" t="s">
        <v>252</v>
      </c>
    </row>
    <row r="11" spans="2:13" ht="30">
      <c r="B11" s="410" t="s">
        <v>29</v>
      </c>
      <c r="C11" s="304" t="s">
        <v>42</v>
      </c>
      <c r="D11" s="305" t="s">
        <v>420</v>
      </c>
      <c r="E11" s="310">
        <f>ROUNDUP(שאלון!$C$15,0)</f>
        <v>0</v>
      </c>
      <c r="F11" s="307">
        <v>100</v>
      </c>
      <c r="G11" s="307">
        <f>תקן[[#This Row],[עלות פריט]]*תקן[[#This Row],[כמות]]</f>
        <v>0</v>
      </c>
      <c r="H11" s="308" t="b">
        <v>1</v>
      </c>
      <c r="I11" s="309"/>
      <c r="J11" s="309"/>
      <c r="K11" s="309"/>
      <c r="L11" s="309"/>
      <c r="M11" s="416" t="s">
        <v>304</v>
      </c>
    </row>
    <row r="12" spans="2:13" ht="42.75">
      <c r="B12" s="410" t="s">
        <v>29</v>
      </c>
      <c r="C12" s="304" t="s">
        <v>41</v>
      </c>
      <c r="D12" s="305" t="s">
        <v>248</v>
      </c>
      <c r="E12" s="306">
        <f>IF(שאלון!$C$15&gt;80,K12,IF(שאלון!$C$15&gt;=41,J12,IF(שאלון!$C$15&gt;=0,I12,"")))</f>
        <v>1</v>
      </c>
      <c r="F12" s="307">
        <v>3000</v>
      </c>
      <c r="G12" s="307">
        <f>תקן[[#This Row],[עלות פריט]]*תקן[[#This Row],[כמות]]</f>
        <v>3000</v>
      </c>
      <c r="H12" s="308" t="b">
        <v>0</v>
      </c>
      <c r="I12" s="309">
        <v>1</v>
      </c>
      <c r="J12" s="309">
        <v>1</v>
      </c>
      <c r="K12" s="309">
        <v>1</v>
      </c>
      <c r="L12" s="309"/>
      <c r="M12" s="416" t="s">
        <v>253</v>
      </c>
    </row>
    <row r="13" spans="2:13">
      <c r="B13" s="410" t="s">
        <v>29</v>
      </c>
      <c r="C13" s="304" t="s">
        <v>24</v>
      </c>
      <c r="D13" s="305" t="s">
        <v>320</v>
      </c>
      <c r="E13" s="306">
        <f>IF(שאלון!$C$15&gt;80,K13,IF(שאלון!$C$15&gt;=41,J13,IF(שאלון!$C$15&gt;=0,I13,"")))</f>
        <v>1</v>
      </c>
      <c r="F13" s="307">
        <v>2500</v>
      </c>
      <c r="G13" s="307">
        <f>תקן[[#This Row],[עלות פריט]]*תקן[[#This Row],[כמות]]</f>
        <v>2500</v>
      </c>
      <c r="H13" s="308" t="b">
        <v>0</v>
      </c>
      <c r="I13" s="309">
        <v>1</v>
      </c>
      <c r="J13" s="309">
        <v>1</v>
      </c>
      <c r="K13" s="309">
        <v>1</v>
      </c>
      <c r="L13" s="309"/>
      <c r="M13" s="416" t="s">
        <v>253</v>
      </c>
    </row>
    <row r="14" spans="2:13">
      <c r="B14" s="410" t="s">
        <v>29</v>
      </c>
      <c r="C14" s="304" t="s">
        <v>24</v>
      </c>
      <c r="D14" s="305" t="s">
        <v>8</v>
      </c>
      <c r="E14" s="306">
        <f>IF(שאלון!$C$15&gt;80,K14,IF(שאלון!$C$15&gt;=41,J14,IF(שאלון!$C$15&gt;=0,I14,"")))</f>
        <v>6</v>
      </c>
      <c r="F14" s="307">
        <v>250</v>
      </c>
      <c r="G14" s="307">
        <f>תקן[[#This Row],[עלות פריט]]*תקן[[#This Row],[כמות]]</f>
        <v>1500</v>
      </c>
      <c r="H14" s="308" t="b">
        <v>0</v>
      </c>
      <c r="I14" s="309">
        <v>6</v>
      </c>
      <c r="J14" s="309">
        <v>10</v>
      </c>
      <c r="K14" s="309">
        <v>15</v>
      </c>
      <c r="L14" s="309"/>
      <c r="M14" s="416" t="s">
        <v>446</v>
      </c>
    </row>
    <row r="15" spans="2:13" ht="42.75">
      <c r="B15" s="410" t="s">
        <v>29</v>
      </c>
      <c r="C15" s="304" t="s">
        <v>24</v>
      </c>
      <c r="D15" s="305" t="s">
        <v>329</v>
      </c>
      <c r="E15" s="306">
        <f>IF(שאלון!$C$15&gt;80,K15,IF(שאלון!$C$15&gt;=41,J15,IF(שאלון!$C$15&gt;=0,I15,"")))</f>
        <v>1</v>
      </c>
      <c r="F15" s="307">
        <v>3000</v>
      </c>
      <c r="G15" s="307">
        <f>תקן[[#This Row],[עלות פריט]]*תקן[[#This Row],[כמות]]</f>
        <v>3000</v>
      </c>
      <c r="H15" s="308" t="b">
        <v>0</v>
      </c>
      <c r="I15" s="309">
        <v>1</v>
      </c>
      <c r="J15" s="309">
        <v>2</v>
      </c>
      <c r="K15" s="309">
        <v>3</v>
      </c>
      <c r="L15" s="309"/>
      <c r="M15" s="416" t="s">
        <v>446</v>
      </c>
    </row>
    <row r="16" spans="2:13">
      <c r="B16" s="411" t="s">
        <v>29</v>
      </c>
      <c r="C16" s="304" t="s">
        <v>24</v>
      </c>
      <c r="D16" s="305" t="s">
        <v>242</v>
      </c>
      <c r="E16" s="306">
        <f>IF(שאלון!$C$15&gt;80,K16,IF(שאלון!$C$15&gt;=41,J16,IF(שאלון!$C$15&gt;=0,I16,"")))</f>
        <v>1</v>
      </c>
      <c r="F16" s="307">
        <v>2000</v>
      </c>
      <c r="G16" s="307">
        <f>תקן[[#This Row],[עלות פריט]]*תקן[[#This Row],[כמות]]</f>
        <v>2000</v>
      </c>
      <c r="H16" s="308" t="b">
        <v>0</v>
      </c>
      <c r="I16" s="309">
        <v>1</v>
      </c>
      <c r="J16" s="309">
        <v>2</v>
      </c>
      <c r="K16" s="309">
        <v>3</v>
      </c>
      <c r="L16" s="309"/>
      <c r="M16" s="416" t="s">
        <v>446</v>
      </c>
    </row>
    <row r="17" spans="2:13">
      <c r="B17" s="411" t="s">
        <v>29</v>
      </c>
      <c r="C17" s="304" t="s">
        <v>24</v>
      </c>
      <c r="D17" s="305" t="s">
        <v>318</v>
      </c>
      <c r="E17" s="306">
        <f>IF(שאלון!$C$15&gt;80,K17,IF(שאלון!$C$15&gt;=41,J17,IF(שאלון!$C$15&gt;=0,I17,"")))</f>
        <v>1</v>
      </c>
      <c r="F17" s="307">
        <v>5000</v>
      </c>
      <c r="G17" s="307">
        <f>תקן[[#This Row],[עלות פריט]]*תקן[[#This Row],[כמות]]</f>
        <v>5000</v>
      </c>
      <c r="H17" s="308" t="b">
        <v>0</v>
      </c>
      <c r="I17" s="309">
        <v>1</v>
      </c>
      <c r="J17" s="309">
        <v>2</v>
      </c>
      <c r="K17" s="309">
        <v>3</v>
      </c>
      <c r="L17" s="309"/>
      <c r="M17" s="416" t="s">
        <v>446</v>
      </c>
    </row>
    <row r="18" spans="2:13">
      <c r="B18" s="411" t="s">
        <v>29</v>
      </c>
      <c r="C18" s="304" t="s">
        <v>24</v>
      </c>
      <c r="D18" s="305" t="s">
        <v>319</v>
      </c>
      <c r="E18" s="306">
        <f>IF(שאלון!$C$15&gt;80,K18,IF(שאלון!$C$15&gt;=41,J18,IF(שאלון!$C$15&gt;=0,I18,"")))</f>
        <v>6</v>
      </c>
      <c r="F18" s="307">
        <v>300</v>
      </c>
      <c r="G18" s="307">
        <f>תקן[[#This Row],[עלות פריט]]*תקן[[#This Row],[כמות]]</f>
        <v>1800</v>
      </c>
      <c r="H18" s="308" t="b">
        <v>0</v>
      </c>
      <c r="I18" s="309">
        <v>6</v>
      </c>
      <c r="J18" s="309">
        <v>10</v>
      </c>
      <c r="K18" s="304">
        <v>15</v>
      </c>
      <c r="L18" s="304"/>
      <c r="M18" s="416" t="s">
        <v>446</v>
      </c>
    </row>
    <row r="19" spans="2:13">
      <c r="B19" s="411" t="s">
        <v>29</v>
      </c>
      <c r="C19" s="311" t="s">
        <v>24</v>
      </c>
      <c r="D19" s="305" t="s">
        <v>18</v>
      </c>
      <c r="E19" s="306">
        <f>IF(שאלון!$C$15&gt;80,K19,IF(שאלון!$C$15&gt;=41,J19,IF(שאלון!$C$15&gt;=0,I19,"")))</f>
        <v>1</v>
      </c>
      <c r="F19" s="307">
        <v>1500</v>
      </c>
      <c r="G19" s="307">
        <f>תקן[[#This Row],[עלות פריט]]*תקן[[#This Row],[כמות]]</f>
        <v>1500</v>
      </c>
      <c r="H19" s="308" t="b">
        <v>0</v>
      </c>
      <c r="I19" s="309">
        <v>1</v>
      </c>
      <c r="J19" s="309">
        <v>1</v>
      </c>
      <c r="K19" s="309">
        <v>1</v>
      </c>
      <c r="L19" s="309"/>
      <c r="M19" s="416" t="s">
        <v>253</v>
      </c>
    </row>
    <row r="20" spans="2:13" ht="29.25">
      <c r="B20" s="411" t="s">
        <v>29</v>
      </c>
      <c r="C20" s="304" t="s">
        <v>24</v>
      </c>
      <c r="D20" s="305" t="s">
        <v>412</v>
      </c>
      <c r="E20" s="306">
        <f>IF(שאלון!$C$15&gt;80,K20,IF(שאלון!$C$15&gt;=41,J20,IF(שאלון!$C$15&gt;=0,I20,"")))</f>
        <v>3</v>
      </c>
      <c r="F20" s="402">
        <v>5000</v>
      </c>
      <c r="G20" s="307">
        <f>תקן[[#This Row],[עלות פריט]]*תקן[[#This Row],[כמות]]</f>
        <v>15000</v>
      </c>
      <c r="H20" s="403" t="b">
        <v>0</v>
      </c>
      <c r="I20" s="404">
        <v>3</v>
      </c>
      <c r="J20" s="404">
        <v>4</v>
      </c>
      <c r="K20" s="404">
        <v>5</v>
      </c>
      <c r="L20" s="304"/>
      <c r="M20" s="416" t="s">
        <v>446</v>
      </c>
    </row>
    <row r="21" spans="2:13" ht="43.5">
      <c r="B21" s="411" t="s">
        <v>29</v>
      </c>
      <c r="C21" s="304" t="s">
        <v>339</v>
      </c>
      <c r="D21" s="305" t="s">
        <v>417</v>
      </c>
      <c r="E21" s="306">
        <f>IF(שאלון!$C$15&gt;80,K21,IF(שאלון!$C$15&gt;=41,J21,IF(שאלון!$C$15&gt;=0,I21,"")))</f>
        <v>1</v>
      </c>
      <c r="F21" s="307">
        <v>3500</v>
      </c>
      <c r="G21" s="307">
        <f>תקן[[#This Row],[עלות פריט]]*תקן[[#This Row],[כמות]]</f>
        <v>3500</v>
      </c>
      <c r="H21" s="308" t="b">
        <v>0</v>
      </c>
      <c r="I21" s="309">
        <v>1</v>
      </c>
      <c r="J21" s="309">
        <v>2</v>
      </c>
      <c r="K21" s="309">
        <v>3</v>
      </c>
      <c r="L21" s="309"/>
      <c r="M21" s="416" t="s">
        <v>446</v>
      </c>
    </row>
    <row r="22" spans="2:13" ht="86.25">
      <c r="B22" s="411" t="s">
        <v>327</v>
      </c>
      <c r="C22" s="304" t="s">
        <v>413</v>
      </c>
      <c r="D22" s="305" t="s">
        <v>416</v>
      </c>
      <c r="E22" s="306">
        <f>IF(שאלון!$C$15&gt;80,K22,IF(שאלון!$C$15&gt;=41,J22,IF(שאלון!$C$15&gt;=0,I22,"")))</f>
        <v>2</v>
      </c>
      <c r="F22" s="307">
        <v>4000</v>
      </c>
      <c r="G22" s="307">
        <f>תקן[[#This Row],[עלות פריט]]*תקן[[#This Row],[כמות]]</f>
        <v>8000</v>
      </c>
      <c r="H22" s="308" t="b">
        <v>0</v>
      </c>
      <c r="I22" s="309">
        <v>2</v>
      </c>
      <c r="J22" s="309">
        <v>3</v>
      </c>
      <c r="K22" s="309">
        <v>4</v>
      </c>
      <c r="L22" s="309"/>
      <c r="M22" s="416" t="s">
        <v>446</v>
      </c>
    </row>
    <row r="23" spans="2:13">
      <c r="B23" s="411" t="s">
        <v>28</v>
      </c>
      <c r="C23" s="304" t="s">
        <v>0</v>
      </c>
      <c r="D23" s="305" t="s">
        <v>306</v>
      </c>
      <c r="E23" s="306">
        <f>IF(שאלון!$C$15&gt;80,K23,IF(שאלון!$C$15&gt;=41,J23,IF(שאלון!$C$15&gt;=0,I23,"")))</f>
        <v>1</v>
      </c>
      <c r="F23" s="307">
        <v>4000</v>
      </c>
      <c r="G23" s="307">
        <f>תקן[[#This Row],[עלות פריט]]*תקן[[#This Row],[כמות]]</f>
        <v>4000</v>
      </c>
      <c r="H23" s="308" t="b">
        <v>0</v>
      </c>
      <c r="I23" s="309">
        <v>1</v>
      </c>
      <c r="J23" s="309">
        <v>1</v>
      </c>
      <c r="K23" s="309">
        <v>1</v>
      </c>
      <c r="L23" s="309"/>
      <c r="M23" s="416" t="s">
        <v>253</v>
      </c>
    </row>
    <row r="24" spans="2:13">
      <c r="B24" s="411" t="s">
        <v>28</v>
      </c>
      <c r="C24" s="304" t="s">
        <v>6</v>
      </c>
      <c r="D24" s="305" t="s">
        <v>74</v>
      </c>
      <c r="E24" s="306">
        <f>IF(שאלון!$C$15&gt;80,K24,IF(שאלון!$C$15&gt;=41,J24,IF(שאלון!$C$15&gt;=0,I24,"")))</f>
        <v>2</v>
      </c>
      <c r="F24" s="307">
        <v>9000</v>
      </c>
      <c r="G24" s="307">
        <f>תקן[[#This Row],[עלות פריט]]*תקן[[#This Row],[כמות]]</f>
        <v>18000</v>
      </c>
      <c r="H24" s="308" t="b">
        <v>0</v>
      </c>
      <c r="I24" s="309">
        <v>2</v>
      </c>
      <c r="J24" s="309">
        <v>3</v>
      </c>
      <c r="K24" s="309">
        <v>4</v>
      </c>
      <c r="L24" s="309"/>
      <c r="M24" s="416" t="s">
        <v>446</v>
      </c>
    </row>
    <row r="25" spans="2:13">
      <c r="B25" s="411" t="s">
        <v>28</v>
      </c>
      <c r="C25" s="304" t="s">
        <v>24</v>
      </c>
      <c r="D25" s="305" t="s">
        <v>246</v>
      </c>
      <c r="E25" s="306">
        <f>IF(שאלון!$C$15&gt;80,K25,IF(שאלון!$C$15&gt;=41,J25,IF(שאלון!$C$15&gt;=0,I25,"")))</f>
        <v>6</v>
      </c>
      <c r="F25" s="307">
        <v>900</v>
      </c>
      <c r="G25" s="307">
        <f>תקן[[#This Row],[עלות פריט]]*תקן[[#This Row],[כמות]]</f>
        <v>5400</v>
      </c>
      <c r="H25" s="308" t="b">
        <v>0</v>
      </c>
      <c r="I25" s="309">
        <v>6</v>
      </c>
      <c r="J25" s="309">
        <v>9</v>
      </c>
      <c r="K25" s="309">
        <v>12</v>
      </c>
      <c r="L25" s="309"/>
      <c r="M25" s="416" t="s">
        <v>446</v>
      </c>
    </row>
    <row r="26" spans="2:13">
      <c r="B26" s="411" t="s">
        <v>28</v>
      </c>
      <c r="C26" s="304" t="s">
        <v>411</v>
      </c>
      <c r="D26" s="305" t="s">
        <v>306</v>
      </c>
      <c r="E26" s="306">
        <f>IF(שאלון!$C$15&gt;80,K26,IF(שאלון!$C$15&gt;=41,J26,IF(שאלון!$C$15&gt;=0,I26,"")))</f>
        <v>1</v>
      </c>
      <c r="F26" s="307">
        <v>4000</v>
      </c>
      <c r="G26" s="307">
        <f>תקן[[#This Row],[עלות פריט]]*תקן[[#This Row],[כמות]]</f>
        <v>4000</v>
      </c>
      <c r="H26" s="308" t="b">
        <v>0</v>
      </c>
      <c r="I26" s="309">
        <v>1</v>
      </c>
      <c r="J26" s="309">
        <v>2</v>
      </c>
      <c r="K26" s="309">
        <v>2</v>
      </c>
      <c r="L26" s="309"/>
      <c r="M26" s="416" t="s">
        <v>446</v>
      </c>
    </row>
    <row r="27" spans="2:13">
      <c r="B27" s="411" t="s">
        <v>28</v>
      </c>
      <c r="C27" s="304" t="s">
        <v>25</v>
      </c>
      <c r="D27" s="305" t="s">
        <v>313</v>
      </c>
      <c r="E27" s="306">
        <f>IF(שאלון!$C$15&gt;80,K27,IF(שאלון!$C$15&gt;=41,J27,IF(שאלון!$C$15&gt;=0,I27,"")))</f>
        <v>1</v>
      </c>
      <c r="F27" s="307">
        <v>15000</v>
      </c>
      <c r="G27" s="307">
        <f>תקן[[#This Row],[עלות פריט]]*תקן[[#This Row],[כמות]]</f>
        <v>15000</v>
      </c>
      <c r="H27" s="308" t="b">
        <v>0</v>
      </c>
      <c r="I27" s="309">
        <v>1</v>
      </c>
      <c r="J27" s="309">
        <v>1</v>
      </c>
      <c r="K27" s="309">
        <v>2</v>
      </c>
      <c r="L27" s="309"/>
      <c r="M27" s="416" t="s">
        <v>446</v>
      </c>
    </row>
    <row r="28" spans="2:13">
      <c r="B28" s="411" t="s">
        <v>28</v>
      </c>
      <c r="C28" s="304" t="s">
        <v>25</v>
      </c>
      <c r="D28" s="305" t="s">
        <v>321</v>
      </c>
      <c r="E28" s="306">
        <f>IF(שאלון!$C$15&gt;80,K28,IF(שאלון!$C$15&gt;=41,J28,IF(שאלון!$C$15&gt;=0,I28,"")))</f>
        <v>1</v>
      </c>
      <c r="F28" s="307">
        <v>3500</v>
      </c>
      <c r="G28" s="307">
        <f>תקן[[#This Row],[עלות פריט]]*תקן[[#This Row],[כמות]]</f>
        <v>3500</v>
      </c>
      <c r="H28" s="308" t="b">
        <v>0</v>
      </c>
      <c r="I28" s="309">
        <v>1</v>
      </c>
      <c r="J28" s="309">
        <v>1</v>
      </c>
      <c r="K28" s="309">
        <v>2</v>
      </c>
      <c r="L28" s="309"/>
      <c r="M28" s="416" t="s">
        <v>446</v>
      </c>
    </row>
    <row r="29" spans="2:13">
      <c r="B29" s="411" t="s">
        <v>28</v>
      </c>
      <c r="C29" s="311" t="s">
        <v>25</v>
      </c>
      <c r="D29" s="305" t="s">
        <v>45</v>
      </c>
      <c r="E29" s="306">
        <f>IF(שאלון!$C$15&gt;80,K29,IF(שאלון!$C$15&gt;=41,J29,IF(שאלון!$C$15&gt;=0,I29,"")))</f>
        <v>1</v>
      </c>
      <c r="F29" s="307">
        <v>6000</v>
      </c>
      <c r="G29" s="307">
        <f>תקן[[#This Row],[עלות פריט]]*תקן[[#This Row],[כמות]]</f>
        <v>6000</v>
      </c>
      <c r="H29" s="308" t="b">
        <v>0</v>
      </c>
      <c r="I29" s="309">
        <v>1</v>
      </c>
      <c r="J29" s="309">
        <v>1</v>
      </c>
      <c r="K29" s="309">
        <v>1</v>
      </c>
      <c r="L29" s="309"/>
      <c r="M29" s="416" t="s">
        <v>253</v>
      </c>
    </row>
    <row r="30" spans="2:13">
      <c r="B30" s="411" t="s">
        <v>28</v>
      </c>
      <c r="C30" s="304" t="s">
        <v>25</v>
      </c>
      <c r="D30" s="305" t="s">
        <v>325</v>
      </c>
      <c r="E30" s="306">
        <f>IF(שאלון!$C$15&gt;80,K30,IF(שאלון!$C$15&gt;=41,J30,IF(שאלון!$C$15&gt;=0,I30,"")))</f>
        <v>1</v>
      </c>
      <c r="F30" s="307">
        <v>8000</v>
      </c>
      <c r="G30" s="307">
        <f>תקן[[#This Row],[עלות פריט]]*תקן[[#This Row],[כמות]]</f>
        <v>8000</v>
      </c>
      <c r="H30" s="308" t="b">
        <v>0</v>
      </c>
      <c r="I30" s="309">
        <v>1</v>
      </c>
      <c r="J30" s="309">
        <v>1</v>
      </c>
      <c r="K30" s="309">
        <v>1</v>
      </c>
      <c r="L30" s="309"/>
      <c r="M30" s="416" t="s">
        <v>253</v>
      </c>
    </row>
    <row r="31" spans="2:13">
      <c r="B31" s="411" t="s">
        <v>28</v>
      </c>
      <c r="C31" s="304" t="s">
        <v>25</v>
      </c>
      <c r="D31" s="314" t="s">
        <v>323</v>
      </c>
      <c r="E31" s="306">
        <f>IF(שאלון!$C$15&gt;80,K31,IF(שאלון!$C$15&gt;=41,J31,IF(שאלון!$C$15&gt;=0,I31,"")))</f>
        <v>1</v>
      </c>
      <c r="F31" s="319">
        <v>12000</v>
      </c>
      <c r="G31" s="307">
        <f>תקן[[#This Row],[עלות פריט]]*תקן[[#This Row],[כמות]]</f>
        <v>12000</v>
      </c>
      <c r="H31" s="320" t="b">
        <v>0</v>
      </c>
      <c r="I31" s="309">
        <v>1</v>
      </c>
      <c r="J31" s="309">
        <v>2</v>
      </c>
      <c r="K31" s="309">
        <v>2</v>
      </c>
      <c r="L31" s="309"/>
      <c r="M31" s="416" t="s">
        <v>446</v>
      </c>
    </row>
    <row r="32" spans="2:13">
      <c r="B32" s="411" t="s">
        <v>28</v>
      </c>
      <c r="C32" s="304" t="s">
        <v>25</v>
      </c>
      <c r="D32" s="305" t="s">
        <v>44</v>
      </c>
      <c r="E32" s="306">
        <f>IF(שאלון!$C$15&gt;80,K32,IF(שאלון!$C$15&gt;=41,J32,IF(שאלון!$C$15&gt;=0,I32,"")))</f>
        <v>1</v>
      </c>
      <c r="F32" s="307">
        <v>4000</v>
      </c>
      <c r="G32" s="307">
        <f>תקן[[#This Row],[עלות פריט]]*תקן[[#This Row],[כמות]]</f>
        <v>4000</v>
      </c>
      <c r="H32" s="308" t="b">
        <v>0</v>
      </c>
      <c r="I32" s="309">
        <v>1</v>
      </c>
      <c r="J32" s="309">
        <v>1</v>
      </c>
      <c r="K32" s="309">
        <v>1</v>
      </c>
      <c r="L32" s="309"/>
      <c r="M32" s="416" t="s">
        <v>253</v>
      </c>
    </row>
    <row r="33" spans="2:13">
      <c r="B33" s="411" t="s">
        <v>28</v>
      </c>
      <c r="C33" s="304" t="s">
        <v>25</v>
      </c>
      <c r="D33" s="305" t="s">
        <v>322</v>
      </c>
      <c r="E33" s="306">
        <f>IF(שאלון!$C$15&gt;80,K33,IF(שאלון!$C$15&gt;=41,J33,IF(שאלון!$C$15&gt;=0,I33,"")))</f>
        <v>2</v>
      </c>
      <c r="F33" s="307">
        <v>12000</v>
      </c>
      <c r="G33" s="307">
        <f>תקן[[#This Row],[עלות פריט]]*תקן[[#This Row],[כמות]]</f>
        <v>24000</v>
      </c>
      <c r="H33" s="308" t="b">
        <v>0</v>
      </c>
      <c r="I33" s="309">
        <v>2</v>
      </c>
      <c r="J33" s="309">
        <v>3</v>
      </c>
      <c r="K33" s="309">
        <v>4</v>
      </c>
      <c r="L33" s="309"/>
      <c r="M33" s="416" t="s">
        <v>446</v>
      </c>
    </row>
    <row r="34" spans="2:13">
      <c r="B34" s="411" t="s">
        <v>28</v>
      </c>
      <c r="C34" s="304" t="s">
        <v>25</v>
      </c>
      <c r="D34" s="305" t="s">
        <v>249</v>
      </c>
      <c r="E34" s="306">
        <f>IF(שאלון!$C$15&gt;80,K34,IF(שאלון!$C$15&gt;=41,J34,IF(שאלון!$C$15&gt;=0,I34,"")))</f>
        <v>1</v>
      </c>
      <c r="F34" s="307">
        <v>20000</v>
      </c>
      <c r="G34" s="307">
        <f>תקן[[#This Row],[עלות פריט]]*תקן[[#This Row],[כמות]]</f>
        <v>20000</v>
      </c>
      <c r="H34" s="308" t="b">
        <v>0</v>
      </c>
      <c r="I34" s="309">
        <v>1</v>
      </c>
      <c r="J34" s="309">
        <v>1</v>
      </c>
      <c r="K34" s="309">
        <v>2</v>
      </c>
      <c r="L34" s="309"/>
      <c r="M34" s="416" t="s">
        <v>446</v>
      </c>
    </row>
    <row r="35" spans="2:13">
      <c r="B35" s="411" t="s">
        <v>28</v>
      </c>
      <c r="C35" s="304" t="s">
        <v>25</v>
      </c>
      <c r="D35" s="305" t="s">
        <v>79</v>
      </c>
      <c r="E35" s="306">
        <f>IF(שאלון!$C$15&gt;80,K35,IF(שאלון!$C$15&gt;=41,J35,IF(שאלון!$C$15&gt;=0,I35,"")))</f>
        <v>1</v>
      </c>
      <c r="F35" s="307">
        <v>6000</v>
      </c>
      <c r="G35" s="307">
        <f>תקן[[#This Row],[עלות פריט]]*תקן[[#This Row],[כמות]]</f>
        <v>6000</v>
      </c>
      <c r="H35" s="308" t="b">
        <v>0</v>
      </c>
      <c r="I35" s="309">
        <v>1</v>
      </c>
      <c r="J35" s="309">
        <v>1</v>
      </c>
      <c r="K35" s="309">
        <v>1</v>
      </c>
      <c r="L35" s="309"/>
      <c r="M35" s="416" t="s">
        <v>253</v>
      </c>
    </row>
    <row r="36" spans="2:13">
      <c r="B36" s="411" t="s">
        <v>28</v>
      </c>
      <c r="C36" s="304" t="s">
        <v>25</v>
      </c>
      <c r="D36" s="305" t="s">
        <v>7</v>
      </c>
      <c r="E36" s="306">
        <f>IF(שאלון!$C$15&gt;80,K36,IF(שאלון!$C$15&gt;=41,J36,IF(שאלון!$C$15&gt;=0,I36,"")))</f>
        <v>1</v>
      </c>
      <c r="F36" s="307">
        <v>3000</v>
      </c>
      <c r="G36" s="307">
        <f>תקן[[#This Row],[עלות פריט]]*תקן[[#This Row],[כמות]]</f>
        <v>3000</v>
      </c>
      <c r="H36" s="308" t="b">
        <v>0</v>
      </c>
      <c r="I36" s="309">
        <v>1</v>
      </c>
      <c r="J36" s="309">
        <v>1</v>
      </c>
      <c r="K36" s="309">
        <v>1</v>
      </c>
      <c r="L36" s="309"/>
      <c r="M36" s="416" t="s">
        <v>253</v>
      </c>
    </row>
    <row r="37" spans="2:13">
      <c r="B37" s="411" t="s">
        <v>28</v>
      </c>
      <c r="C37" s="304" t="s">
        <v>12</v>
      </c>
      <c r="D37" s="305" t="s">
        <v>244</v>
      </c>
      <c r="E37" s="306">
        <f>IF(שאלון!$C$15&gt;80,K37,IF(שאלון!$C$15&gt;=41,J37,IF(שאלון!$C$15&gt;=0,I37,"")))</f>
        <v>1</v>
      </c>
      <c r="F37" s="307">
        <v>10000</v>
      </c>
      <c r="G37" s="307">
        <f>תקן[[#This Row],[עלות פריט]]*תקן[[#This Row],[כמות]]</f>
        <v>10000</v>
      </c>
      <c r="H37" s="308" t="b">
        <v>0</v>
      </c>
      <c r="I37" s="309">
        <v>1</v>
      </c>
      <c r="J37" s="309">
        <v>1</v>
      </c>
      <c r="K37" s="309">
        <v>1</v>
      </c>
      <c r="L37" s="309"/>
      <c r="M37" s="416" t="s">
        <v>253</v>
      </c>
    </row>
    <row r="38" spans="2:13">
      <c r="B38" s="411" t="s">
        <v>24</v>
      </c>
      <c r="C38" s="311" t="s">
        <v>24</v>
      </c>
      <c r="D38" s="305" t="s">
        <v>31</v>
      </c>
      <c r="E38" s="306">
        <f>IF(שאלון!$C$15&gt;80,K38,IF(שאלון!$C$15&gt;=41,J38,IF(שאלון!$C$15&gt;=0,I38,"")))</f>
        <v>1</v>
      </c>
      <c r="F38" s="307">
        <v>25000</v>
      </c>
      <c r="G38" s="307">
        <f>תקן[[#This Row],[עלות פריט]]*תקן[[#This Row],[כמות]]</f>
        <v>25000</v>
      </c>
      <c r="H38" s="308" t="b">
        <v>0</v>
      </c>
      <c r="I38" s="309">
        <v>1</v>
      </c>
      <c r="J38" s="309">
        <v>2</v>
      </c>
      <c r="K38" s="309">
        <v>3</v>
      </c>
      <c r="L38" s="309"/>
      <c r="M38" s="416" t="s">
        <v>446</v>
      </c>
    </row>
    <row r="39" spans="2:13">
      <c r="B39" s="411" t="s">
        <v>24</v>
      </c>
      <c r="C39" s="304" t="s">
        <v>25</v>
      </c>
      <c r="D39" s="305" t="s">
        <v>415</v>
      </c>
      <c r="E39" s="306">
        <f>IF(שאלון!$C$15&gt;80,K39,IF(שאלון!$C$15&gt;=41,J39,IF(שאלון!$C$15&gt;=0,I39,"")))</f>
        <v>2</v>
      </c>
      <c r="F39" s="307">
        <v>4500</v>
      </c>
      <c r="G39" s="307">
        <f>תקן[[#This Row],[עלות פריט]]*תקן[[#This Row],[כמות]]</f>
        <v>9000</v>
      </c>
      <c r="H39" s="308" t="b">
        <v>0</v>
      </c>
      <c r="I39" s="309">
        <v>2</v>
      </c>
      <c r="J39" s="309">
        <v>3</v>
      </c>
      <c r="K39" s="309">
        <v>4</v>
      </c>
      <c r="L39" s="309"/>
      <c r="M39" s="416" t="s">
        <v>446</v>
      </c>
    </row>
    <row r="40" spans="2:13">
      <c r="B40" s="411" t="s">
        <v>24</v>
      </c>
      <c r="C40" s="311" t="s">
        <v>25</v>
      </c>
      <c r="D40" s="305" t="s">
        <v>324</v>
      </c>
      <c r="E40" s="306">
        <f>IF(שאלון!$C$15&gt;80,K40,IF(שאלון!$C$15&gt;=41,J40,IF(שאלון!$C$15&gt;=0,I40,"")))</f>
        <v>1</v>
      </c>
      <c r="F40" s="307">
        <v>6000</v>
      </c>
      <c r="G40" s="307">
        <f>תקן[[#This Row],[עלות פריט]]*תקן[[#This Row],[כמות]]</f>
        <v>6000</v>
      </c>
      <c r="H40" s="308" t="b">
        <v>0</v>
      </c>
      <c r="I40" s="309">
        <v>1</v>
      </c>
      <c r="J40" s="309">
        <v>1</v>
      </c>
      <c r="K40" s="309">
        <v>2</v>
      </c>
      <c r="L40" s="309"/>
      <c r="M40" s="416" t="s">
        <v>446</v>
      </c>
    </row>
    <row r="41" spans="2:13" ht="28.5">
      <c r="B41" s="411" t="s">
        <v>0</v>
      </c>
      <c r="C41" s="304" t="s">
        <v>0</v>
      </c>
      <c r="D41" s="305" t="s">
        <v>251</v>
      </c>
      <c r="E41" s="310">
        <f>ROUNDUP(שאלון!$C$15*1.15,0)</f>
        <v>0</v>
      </c>
      <c r="F41" s="307">
        <v>300</v>
      </c>
      <c r="G41" s="307">
        <f>תקן[[#This Row],[עלות פריט]]*תקן[[#This Row],[כמות]]</f>
        <v>0</v>
      </c>
      <c r="H41" s="308" t="b">
        <v>1</v>
      </c>
      <c r="I41" s="309"/>
      <c r="J41" s="309"/>
      <c r="K41" s="309"/>
      <c r="L41" s="309"/>
      <c r="M41" s="416" t="s">
        <v>302</v>
      </c>
    </row>
    <row r="42" spans="2:13" ht="42.75">
      <c r="B42" s="411" t="s">
        <v>0</v>
      </c>
      <c r="C42" s="311" t="s">
        <v>0</v>
      </c>
      <c r="D42" s="305" t="s">
        <v>421</v>
      </c>
      <c r="E42" s="310">
        <f>ROUNDUP(שאלון!$C$15*1.15/4,0)</f>
        <v>0</v>
      </c>
      <c r="F42" s="307">
        <v>400</v>
      </c>
      <c r="G42" s="307">
        <f>תקן[[#This Row],[עלות פריט]]*תקן[[#This Row],[כמות]]</f>
        <v>0</v>
      </c>
      <c r="H42" s="308" t="b">
        <v>1</v>
      </c>
      <c r="I42" s="309"/>
      <c r="J42" s="309"/>
      <c r="K42" s="309"/>
      <c r="L42" s="309"/>
      <c r="M42" s="416" t="s">
        <v>303</v>
      </c>
    </row>
    <row r="43" spans="2:13">
      <c r="B43" s="411" t="s">
        <v>17</v>
      </c>
      <c r="C43" s="304" t="s">
        <v>43</v>
      </c>
      <c r="D43" s="305" t="s">
        <v>239</v>
      </c>
      <c r="E43" s="306">
        <f>IF(שאלון!$C$15&gt;80,K43,IF(שאלון!$C$15&gt;=41,J43,IF(שאלון!$C$15&gt;=0,I43,"")))</f>
        <v>1</v>
      </c>
      <c r="F43" s="307">
        <v>2000</v>
      </c>
      <c r="G43" s="307">
        <f>תקן[[#This Row],[עלות פריט]]*תקן[[#This Row],[כמות]]</f>
        <v>2000</v>
      </c>
      <c r="H43" s="308" t="b">
        <v>0</v>
      </c>
      <c r="I43" s="309">
        <v>1</v>
      </c>
      <c r="J43" s="309">
        <v>1</v>
      </c>
      <c r="K43" s="309">
        <v>1</v>
      </c>
      <c r="L43" s="309"/>
      <c r="M43" s="416" t="s">
        <v>253</v>
      </c>
    </row>
    <row r="44" spans="2:13">
      <c r="B44" s="411" t="s">
        <v>17</v>
      </c>
      <c r="C44" s="304" t="s">
        <v>43</v>
      </c>
      <c r="D44" s="305" t="s">
        <v>314</v>
      </c>
      <c r="E44" s="306">
        <f>IF(שאלון!$C$15&gt;80,K44,IF(שאלון!$C$15&gt;=41,J44,IF(שאלון!$C$15&gt;=0,I44,"")))</f>
        <v>1</v>
      </c>
      <c r="F44" s="307">
        <v>5000</v>
      </c>
      <c r="G44" s="307">
        <f>תקן[[#This Row],[עלות פריט]]*תקן[[#This Row],[כמות]]</f>
        <v>5000</v>
      </c>
      <c r="H44" s="308" t="b">
        <v>0</v>
      </c>
      <c r="I44" s="309">
        <v>1</v>
      </c>
      <c r="J44" s="309">
        <v>1</v>
      </c>
      <c r="K44" s="309">
        <v>1</v>
      </c>
      <c r="L44" s="309"/>
      <c r="M44" s="416" t="s">
        <v>253</v>
      </c>
    </row>
    <row r="45" spans="2:13">
      <c r="B45" s="411" t="s">
        <v>17</v>
      </c>
      <c r="C45" s="304" t="s">
        <v>11</v>
      </c>
      <c r="D45" s="305" t="s">
        <v>3</v>
      </c>
      <c r="E45" s="306">
        <f>IF(שאלון!$C$15&gt;80,K45,IF(שאלון!$C$15&gt;=41,J45,IF(שאלון!$C$15&gt;=0,I45,"")))</f>
        <v>1</v>
      </c>
      <c r="F45" s="307">
        <v>1500</v>
      </c>
      <c r="G45" s="307">
        <f>תקן[[#This Row],[עלות פריט]]*תקן[[#This Row],[כמות]]</f>
        <v>1500</v>
      </c>
      <c r="H45" s="308" t="b">
        <v>0</v>
      </c>
      <c r="I45" s="309">
        <v>1</v>
      </c>
      <c r="J45" s="309">
        <v>1</v>
      </c>
      <c r="K45" s="309">
        <v>1</v>
      </c>
      <c r="L45" s="309"/>
      <c r="M45" s="416" t="s">
        <v>253</v>
      </c>
    </row>
    <row r="46" spans="2:13">
      <c r="B46" s="411" t="s">
        <v>17</v>
      </c>
      <c r="C46" s="304" t="s">
        <v>11</v>
      </c>
      <c r="D46" s="305" t="s">
        <v>314</v>
      </c>
      <c r="E46" s="306">
        <f>IF(שאלון!$C$15&gt;80,K46,IF(שאלון!$C$15&gt;=41,J46,IF(שאלון!$C$15&gt;=0,I46,"")))</f>
        <v>2</v>
      </c>
      <c r="F46" s="307">
        <v>5000</v>
      </c>
      <c r="G46" s="307">
        <f>תקן[[#This Row],[עלות פריט]]*תקן[[#This Row],[כמות]]</f>
        <v>10000</v>
      </c>
      <c r="H46" s="308" t="b">
        <v>0</v>
      </c>
      <c r="I46" s="309">
        <v>2</v>
      </c>
      <c r="J46" s="309">
        <v>3</v>
      </c>
      <c r="K46" s="309">
        <v>4</v>
      </c>
      <c r="L46" s="309"/>
      <c r="M46" s="416" t="s">
        <v>446</v>
      </c>
    </row>
    <row r="47" spans="2:13">
      <c r="B47" s="411" t="s">
        <v>17</v>
      </c>
      <c r="C47" s="304" t="s">
        <v>5</v>
      </c>
      <c r="D47" s="305" t="s">
        <v>314</v>
      </c>
      <c r="E47" s="306">
        <f>IF(שאלון!$C$15&gt;80,K47,IF(שאלון!$C$15&gt;=41,J47,IF(שאלון!$C$15&gt;=0,I47,"")))</f>
        <v>1</v>
      </c>
      <c r="F47" s="307">
        <v>5000</v>
      </c>
      <c r="G47" s="307">
        <f>תקן[[#This Row],[עלות פריט]]*תקן[[#This Row],[כמות]]</f>
        <v>5000</v>
      </c>
      <c r="H47" s="312" t="b">
        <v>0</v>
      </c>
      <c r="I47" s="304">
        <v>1</v>
      </c>
      <c r="J47" s="304">
        <v>1</v>
      </c>
      <c r="K47" s="304">
        <v>1</v>
      </c>
      <c r="L47" s="304"/>
      <c r="M47" s="416" t="s">
        <v>253</v>
      </c>
    </row>
    <row r="48" spans="2:13">
      <c r="B48" s="411" t="s">
        <v>17</v>
      </c>
      <c r="C48" s="304" t="s">
        <v>41</v>
      </c>
      <c r="D48" s="305" t="s">
        <v>314</v>
      </c>
      <c r="E48" s="306">
        <f>IF(שאלון!$C$15&gt;80,K48,IF(שאלון!$C$15&gt;=41,J48,IF(שאלון!$C$15&gt;=0,I48,"")))</f>
        <v>1</v>
      </c>
      <c r="F48" s="307">
        <v>5000</v>
      </c>
      <c r="G48" s="307">
        <f>תקן[[#This Row],[עלות פריט]]*תקן[[#This Row],[כמות]]</f>
        <v>5000</v>
      </c>
      <c r="H48" s="308" t="b">
        <v>0</v>
      </c>
      <c r="I48" s="309">
        <v>1</v>
      </c>
      <c r="J48" s="309">
        <v>2</v>
      </c>
      <c r="K48" s="309">
        <v>3</v>
      </c>
      <c r="L48" s="309"/>
      <c r="M48" s="416" t="s">
        <v>446</v>
      </c>
    </row>
    <row r="49" spans="2:13">
      <c r="B49" s="411" t="s">
        <v>27</v>
      </c>
      <c r="C49" s="304" t="s">
        <v>24</v>
      </c>
      <c r="D49" s="305" t="s">
        <v>414</v>
      </c>
      <c r="E49" s="306">
        <f>IF(שאלון!$C$15&gt;80,K49,IF(שאלון!$C$15&gt;=41,J49,IF(שאלון!$C$15&gt;=0,I49,"")))</f>
        <v>2</v>
      </c>
      <c r="F49" s="307">
        <v>5000</v>
      </c>
      <c r="G49" s="307">
        <f>תקן[[#This Row],[עלות פריט]]*תקן[[#This Row],[כמות]]</f>
        <v>10000</v>
      </c>
      <c r="H49" s="308" t="b">
        <v>0</v>
      </c>
      <c r="I49" s="309">
        <v>2</v>
      </c>
      <c r="J49" s="309">
        <v>4</v>
      </c>
      <c r="K49" s="309">
        <v>6</v>
      </c>
      <c r="L49" s="309"/>
      <c r="M49" s="416" t="s">
        <v>446</v>
      </c>
    </row>
    <row r="50" spans="2:13">
      <c r="B50" s="411" t="s">
        <v>27</v>
      </c>
      <c r="C50" s="311" t="s">
        <v>24</v>
      </c>
      <c r="D50" s="305" t="s">
        <v>21</v>
      </c>
      <c r="E50" s="306">
        <f>IF(שאלון!$C$15&gt;80,K50,IF(שאלון!$C$15&gt;=41,J50,IF(שאלון!$C$15&gt;=0,I50,"")))</f>
        <v>1</v>
      </c>
      <c r="F50" s="307">
        <v>5000</v>
      </c>
      <c r="G50" s="307">
        <f>תקן[[#This Row],[עלות פריט]]*תקן[[#This Row],[כמות]]</f>
        <v>5000</v>
      </c>
      <c r="H50" s="308" t="b">
        <v>0</v>
      </c>
      <c r="I50" s="309">
        <v>1</v>
      </c>
      <c r="J50" s="309">
        <v>1</v>
      </c>
      <c r="K50" s="309">
        <v>1</v>
      </c>
      <c r="L50" s="309"/>
      <c r="M50" s="416" t="s">
        <v>253</v>
      </c>
    </row>
    <row r="51" spans="2:13">
      <c r="B51" s="411" t="s">
        <v>27</v>
      </c>
      <c r="C51" s="304" t="s">
        <v>27</v>
      </c>
      <c r="D51" s="305" t="s">
        <v>22</v>
      </c>
      <c r="E51" s="306">
        <f>IF(שאלון!$C$15&gt;80,K51,IF(שאלון!$C$15&gt;=41,J51,IF(שאלון!$C$15&gt;=0,I51,"")))</f>
        <v>1</v>
      </c>
      <c r="F51" s="307">
        <v>1500</v>
      </c>
      <c r="G51" s="307">
        <f>תקן[[#This Row],[עלות פריט]]*תקן[[#This Row],[כמות]]</f>
        <v>1500</v>
      </c>
      <c r="H51" s="308" t="b">
        <v>0</v>
      </c>
      <c r="I51" s="309">
        <v>1</v>
      </c>
      <c r="J51" s="309">
        <v>2</v>
      </c>
      <c r="K51" s="309">
        <v>3</v>
      </c>
      <c r="L51" s="309"/>
      <c r="M51" s="416" t="s">
        <v>446</v>
      </c>
    </row>
    <row r="52" spans="2:13">
      <c r="B52" s="411" t="s">
        <v>27</v>
      </c>
      <c r="C52" s="304" t="s">
        <v>27</v>
      </c>
      <c r="D52" s="305" t="s">
        <v>77</v>
      </c>
      <c r="E52" s="306">
        <f>IF(שאלון!$C$15&gt;80,K52,IF(שאלון!$C$15&gt;=41,J52,IF(שאלון!$C$15&gt;=0,I52,"")))</f>
        <v>1</v>
      </c>
      <c r="F52" s="307">
        <v>20000</v>
      </c>
      <c r="G52" s="307">
        <f>תקן[[#This Row],[עלות פריט]]*תקן[[#This Row],[כמות]]</f>
        <v>20000</v>
      </c>
      <c r="H52" s="308" t="b">
        <v>0</v>
      </c>
      <c r="I52" s="309">
        <v>1</v>
      </c>
      <c r="J52" s="309">
        <v>2</v>
      </c>
      <c r="K52" s="309">
        <v>2</v>
      </c>
      <c r="L52" s="309"/>
      <c r="M52" s="416" t="s">
        <v>446</v>
      </c>
    </row>
    <row r="53" spans="2:13">
      <c r="B53" s="411" t="s">
        <v>27</v>
      </c>
      <c r="C53" s="304" t="s">
        <v>27</v>
      </c>
      <c r="D53" s="305" t="s">
        <v>73</v>
      </c>
      <c r="E53" s="306">
        <f>IF(שאלון!$C$15&gt;80,K53,IF(שאלון!$C$15&gt;=41,J53,IF(שאלון!$C$15&gt;=0,I53,"")))</f>
        <v>1</v>
      </c>
      <c r="F53" s="307">
        <v>15000</v>
      </c>
      <c r="G53" s="307">
        <f>תקן[[#This Row],[עלות פריט]]*תקן[[#This Row],[כמות]]</f>
        <v>15000</v>
      </c>
      <c r="H53" s="308" t="b">
        <v>0</v>
      </c>
      <c r="I53" s="309">
        <v>1</v>
      </c>
      <c r="J53" s="309">
        <v>2</v>
      </c>
      <c r="K53" s="309">
        <v>2</v>
      </c>
      <c r="L53" s="309"/>
      <c r="M53" s="416" t="s">
        <v>446</v>
      </c>
    </row>
    <row r="54" spans="2:13" ht="30">
      <c r="B54" s="411" t="s">
        <v>16</v>
      </c>
      <c r="C54" s="304" t="s">
        <v>0</v>
      </c>
      <c r="D54" s="305" t="s">
        <v>34</v>
      </c>
      <c r="E54" s="310">
        <f>ROUNDUP(שאלון!$C$15*1.15,0)</f>
        <v>0</v>
      </c>
      <c r="F54" s="307">
        <v>800</v>
      </c>
      <c r="G54" s="307">
        <f>תקן[[#This Row],[עלות פריט]]*תקן[[#This Row],[כמות]]</f>
        <v>0</v>
      </c>
      <c r="H54" s="308" t="b">
        <v>1</v>
      </c>
      <c r="I54" s="309"/>
      <c r="J54" s="309"/>
      <c r="K54" s="309"/>
      <c r="L54" s="309"/>
      <c r="M54" s="416" t="s">
        <v>302</v>
      </c>
    </row>
    <row r="55" spans="2:13" ht="45">
      <c r="B55" s="411" t="s">
        <v>16</v>
      </c>
      <c r="C55" s="304" t="s">
        <v>0</v>
      </c>
      <c r="D55" s="305" t="s">
        <v>40</v>
      </c>
      <c r="E55" s="310">
        <f>ROUNDUP(שאלון!$C$15*1.15/4,0)</f>
        <v>0</v>
      </c>
      <c r="F55" s="307">
        <v>3500</v>
      </c>
      <c r="G55" s="307">
        <f>תקן[[#This Row],[עלות פריט]]*תקן[[#This Row],[כמות]]</f>
        <v>0</v>
      </c>
      <c r="H55" s="308" t="b">
        <v>1</v>
      </c>
      <c r="I55" s="309"/>
      <c r="J55" s="309"/>
      <c r="K55" s="309"/>
      <c r="L55" s="309"/>
      <c r="M55" s="416" t="s">
        <v>303</v>
      </c>
    </row>
    <row r="56" spans="2:13">
      <c r="B56" s="411" t="s">
        <v>16</v>
      </c>
      <c r="C56" s="304" t="s">
        <v>43</v>
      </c>
      <c r="D56" s="305" t="s">
        <v>241</v>
      </c>
      <c r="E56" s="306">
        <f>IF(שאלון!$C$15&gt;80,K56,IF(שאלון!$C$15&gt;=41,J56,IF(שאלון!$C$15&gt;=0,I56,"")))</f>
        <v>1</v>
      </c>
      <c r="F56" s="307">
        <v>4500</v>
      </c>
      <c r="G56" s="307">
        <f>תקן[[#This Row],[עלות פריט]]*תקן[[#This Row],[כמות]]</f>
        <v>4500</v>
      </c>
      <c r="H56" s="308" t="b">
        <v>0</v>
      </c>
      <c r="I56" s="309">
        <v>1</v>
      </c>
      <c r="J56" s="309">
        <v>1</v>
      </c>
      <c r="K56" s="309">
        <v>1</v>
      </c>
      <c r="L56" s="309"/>
      <c r="M56" s="416" t="s">
        <v>253</v>
      </c>
    </row>
    <row r="57" spans="2:13">
      <c r="B57" s="411" t="s">
        <v>16</v>
      </c>
      <c r="C57" s="304" t="s">
        <v>43</v>
      </c>
      <c r="D57" s="305" t="s">
        <v>4</v>
      </c>
      <c r="E57" s="306">
        <f>IF(שאלון!$C$15&gt;80,K57,IF(שאלון!$C$15&gt;=41,J57,IF(שאלון!$C$15&gt;=0,I57,"")))</f>
        <v>1</v>
      </c>
      <c r="F57" s="307">
        <v>15000</v>
      </c>
      <c r="G57" s="307">
        <f>תקן[[#This Row],[עלות פריט]]*תקן[[#This Row],[כמות]]</f>
        <v>15000</v>
      </c>
      <c r="H57" s="308" t="b">
        <v>0</v>
      </c>
      <c r="I57" s="309">
        <v>1</v>
      </c>
      <c r="J57" s="309">
        <v>1</v>
      </c>
      <c r="K57" s="309">
        <v>1</v>
      </c>
      <c r="L57" s="309"/>
      <c r="M57" s="416" t="s">
        <v>253</v>
      </c>
    </row>
    <row r="58" spans="2:13">
      <c r="B58" s="411" t="s">
        <v>16</v>
      </c>
      <c r="C58" s="304" t="s">
        <v>43</v>
      </c>
      <c r="D58" s="305" t="s">
        <v>308</v>
      </c>
      <c r="E58" s="306">
        <f>IF(שאלון!$C$15&gt;80,K58,IF(שאלון!$C$15&gt;=41,J58,IF(שאלון!$C$15&gt;=0,I58,"")))</f>
        <v>1</v>
      </c>
      <c r="F58" s="307">
        <v>600</v>
      </c>
      <c r="G58" s="307">
        <f>תקן[[#This Row],[עלות פריט]]*תקן[[#This Row],[כמות]]</f>
        <v>600</v>
      </c>
      <c r="H58" s="308" t="b">
        <v>0</v>
      </c>
      <c r="I58" s="309">
        <v>1</v>
      </c>
      <c r="J58" s="309">
        <v>2</v>
      </c>
      <c r="K58" s="309">
        <v>2</v>
      </c>
      <c r="L58" s="309"/>
      <c r="M58" s="416" t="s">
        <v>446</v>
      </c>
    </row>
    <row r="59" spans="2:13">
      <c r="B59" s="411" t="s">
        <v>16</v>
      </c>
      <c r="C59" s="304" t="s">
        <v>11</v>
      </c>
      <c r="D59" s="305" t="s">
        <v>241</v>
      </c>
      <c r="E59" s="306">
        <f>IF(שאלון!$C$15&gt;80,K59,IF(שאלון!$C$15&gt;=41,J59,IF(שאלון!$C$15&gt;=0,I59,"")))</f>
        <v>1</v>
      </c>
      <c r="F59" s="307">
        <v>4500</v>
      </c>
      <c r="G59" s="307">
        <f>תקן[[#This Row],[עלות פריט]]*תקן[[#This Row],[כמות]]</f>
        <v>4500</v>
      </c>
      <c r="H59" s="308" t="b">
        <v>0</v>
      </c>
      <c r="I59" s="309">
        <v>1</v>
      </c>
      <c r="J59" s="309">
        <v>1</v>
      </c>
      <c r="K59" s="309">
        <v>1</v>
      </c>
      <c r="L59" s="309"/>
      <c r="M59" s="416" t="s">
        <v>253</v>
      </c>
    </row>
    <row r="60" spans="2:13">
      <c r="B60" s="411" t="s">
        <v>16</v>
      </c>
      <c r="C60" s="304" t="s">
        <v>11</v>
      </c>
      <c r="D60" s="305" t="s">
        <v>308</v>
      </c>
      <c r="E60" s="306">
        <f>IF(שאלון!$C$15&gt;80,K60,IF(שאלון!$C$15&gt;=41,J60,IF(שאלון!$C$15&gt;=0,I60,"")))</f>
        <v>3</v>
      </c>
      <c r="F60" s="307">
        <v>600</v>
      </c>
      <c r="G60" s="307">
        <f>תקן[[#This Row],[עלות פריט]]*תקן[[#This Row],[כמות]]</f>
        <v>1800</v>
      </c>
      <c r="H60" s="308" t="b">
        <v>0</v>
      </c>
      <c r="I60" s="309">
        <v>3</v>
      </c>
      <c r="J60" s="309">
        <v>4</v>
      </c>
      <c r="K60" s="309">
        <v>5</v>
      </c>
      <c r="L60" s="309"/>
      <c r="M60" s="416" t="s">
        <v>446</v>
      </c>
    </row>
    <row r="61" spans="2:13">
      <c r="B61" s="411" t="s">
        <v>16</v>
      </c>
      <c r="C61" s="304" t="s">
        <v>11</v>
      </c>
      <c r="D61" s="305" t="s">
        <v>14</v>
      </c>
      <c r="E61" s="306">
        <f>IF(שאלון!$C$15&gt;80,K61,IF(שאלון!$C$15&gt;=41,J61,IF(שאלון!$C$15&gt;=0,I61,"")))</f>
        <v>1</v>
      </c>
      <c r="F61" s="307">
        <v>1200</v>
      </c>
      <c r="G61" s="307">
        <f>תקן[[#This Row],[עלות פריט]]*תקן[[#This Row],[כמות]]</f>
        <v>1200</v>
      </c>
      <c r="H61" s="308" t="b">
        <v>0</v>
      </c>
      <c r="I61" s="309">
        <v>1</v>
      </c>
      <c r="J61" s="309">
        <v>2</v>
      </c>
      <c r="K61" s="309">
        <v>3</v>
      </c>
      <c r="L61" s="309"/>
      <c r="M61" s="416" t="s">
        <v>446</v>
      </c>
    </row>
    <row r="62" spans="2:13">
      <c r="B62" s="411" t="s">
        <v>16</v>
      </c>
      <c r="C62" s="304" t="s">
        <v>5</v>
      </c>
      <c r="D62" s="305" t="s">
        <v>241</v>
      </c>
      <c r="E62" s="306">
        <f>IF(שאלון!$C$15&gt;80,K62,IF(שאלון!$C$15&gt;=41,J62,IF(שאלון!$C$15&gt;=0,I62,"")))</f>
        <v>1</v>
      </c>
      <c r="F62" s="307">
        <v>4500</v>
      </c>
      <c r="G62" s="307">
        <f>תקן[[#This Row],[עלות פריט]]*תקן[[#This Row],[כמות]]</f>
        <v>4500</v>
      </c>
      <c r="H62" s="308" t="b">
        <v>0</v>
      </c>
      <c r="I62" s="309">
        <v>1</v>
      </c>
      <c r="J62" s="309">
        <v>1</v>
      </c>
      <c r="K62" s="309">
        <v>1</v>
      </c>
      <c r="L62" s="309"/>
      <c r="M62" s="416" t="s">
        <v>253</v>
      </c>
    </row>
    <row r="63" spans="2:13">
      <c r="B63" s="411" t="s">
        <v>16</v>
      </c>
      <c r="C63" s="304" t="s">
        <v>5</v>
      </c>
      <c r="D63" s="305" t="s">
        <v>419</v>
      </c>
      <c r="E63" s="306">
        <f>IF(שאלון!$C$15&gt;80,K63,IF(שאלון!$C$15&gt;=41,J63,IF(שאלון!$C$15&gt;=0,I63,"")))</f>
        <v>1</v>
      </c>
      <c r="F63" s="307">
        <v>1000</v>
      </c>
      <c r="G63" s="307">
        <f>תקן[[#This Row],[עלות פריט]]*תקן[[#This Row],[כמות]]</f>
        <v>1000</v>
      </c>
      <c r="H63" s="308" t="b">
        <v>0</v>
      </c>
      <c r="I63" s="309">
        <v>1</v>
      </c>
      <c r="J63" s="309">
        <v>1</v>
      </c>
      <c r="K63" s="309">
        <v>1</v>
      </c>
      <c r="L63" s="309"/>
      <c r="M63" s="416" t="s">
        <v>253</v>
      </c>
    </row>
    <row r="64" spans="2:13">
      <c r="B64" s="411" t="s">
        <v>16</v>
      </c>
      <c r="C64" s="304" t="s">
        <v>5</v>
      </c>
      <c r="D64" s="305" t="s">
        <v>308</v>
      </c>
      <c r="E64" s="306">
        <f>IF(שאלון!$C$15&gt;80,K64,IF(שאלון!$C$15&gt;=41,J64,IF(שאלון!$C$15&gt;=0,I64,"")))</f>
        <v>1</v>
      </c>
      <c r="F64" s="307">
        <v>600</v>
      </c>
      <c r="G64" s="307">
        <f>תקן[[#This Row],[עלות פריט]]*תקן[[#This Row],[כמות]]</f>
        <v>600</v>
      </c>
      <c r="H64" s="308" t="b">
        <v>0</v>
      </c>
      <c r="I64" s="309">
        <v>1</v>
      </c>
      <c r="J64" s="309">
        <v>2</v>
      </c>
      <c r="K64" s="309">
        <v>2</v>
      </c>
      <c r="L64" s="309"/>
      <c r="M64" s="416" t="s">
        <v>446</v>
      </c>
    </row>
    <row r="65" spans="2:13">
      <c r="B65" s="411" t="s">
        <v>16</v>
      </c>
      <c r="C65" s="304" t="s">
        <v>5</v>
      </c>
      <c r="D65" s="305" t="s">
        <v>310</v>
      </c>
      <c r="E65" s="306">
        <f>IF(שאלון!$C$15&gt;80,K65,IF(שאלון!$C$15&gt;=41,J65,IF(שאלון!$C$15&gt;=0,I65,"")))</f>
        <v>1</v>
      </c>
      <c r="F65" s="307">
        <v>2500</v>
      </c>
      <c r="G65" s="307">
        <f>תקן[[#This Row],[עלות פריט]]*תקן[[#This Row],[כמות]]</f>
        <v>2500</v>
      </c>
      <c r="H65" s="308" t="b">
        <v>0</v>
      </c>
      <c r="I65" s="309">
        <v>1</v>
      </c>
      <c r="J65" s="309">
        <v>1</v>
      </c>
      <c r="K65" s="309">
        <v>1</v>
      </c>
      <c r="L65" s="309"/>
      <c r="M65" s="416" t="s">
        <v>253</v>
      </c>
    </row>
    <row r="66" spans="2:13">
      <c r="B66" s="411" t="s">
        <v>16</v>
      </c>
      <c r="C66" s="313" t="s">
        <v>2</v>
      </c>
      <c r="D66" s="314" t="s">
        <v>315</v>
      </c>
      <c r="E66" s="315">
        <f>IF(שאלון!$C$15&gt;80,K66,IF(שאלון!$C$15&gt;=41,J66,IF(שאלון!$C$15&gt;=0,I66,"")))</f>
        <v>1</v>
      </c>
      <c r="F66" s="316">
        <v>3500</v>
      </c>
      <c r="G66" s="307">
        <f>תקן[[#This Row],[עלות פריט]]*תקן[[#This Row],[כמות]]</f>
        <v>3500</v>
      </c>
      <c r="H66" s="317" t="b">
        <v>0</v>
      </c>
      <c r="I66" s="313">
        <v>1</v>
      </c>
      <c r="J66" s="313">
        <v>2</v>
      </c>
      <c r="K66" s="313">
        <v>2</v>
      </c>
      <c r="L66" s="313"/>
      <c r="M66" s="416" t="s">
        <v>446</v>
      </c>
    </row>
    <row r="67" spans="2:13">
      <c r="B67" s="411" t="s">
        <v>16</v>
      </c>
      <c r="C67" s="304" t="s">
        <v>2</v>
      </c>
      <c r="D67" s="305" t="s">
        <v>35</v>
      </c>
      <c r="E67" s="306">
        <f>IF(שאלון!$C$15&gt;80,K67,IF(שאלון!$C$15&gt;=41,J67,IF(שאלון!$C$15&gt;=0,I67,"")))</f>
        <v>1</v>
      </c>
      <c r="F67" s="307">
        <v>5000</v>
      </c>
      <c r="G67" s="307">
        <f>תקן[[#This Row],[עלות פריט]]*תקן[[#This Row],[כמות]]</f>
        <v>5000</v>
      </c>
      <c r="H67" s="308" t="b">
        <v>0</v>
      </c>
      <c r="I67" s="309">
        <v>1</v>
      </c>
      <c r="J67" s="309">
        <v>2</v>
      </c>
      <c r="K67" s="309">
        <v>2</v>
      </c>
      <c r="L67" s="309"/>
      <c r="M67" s="416" t="s">
        <v>446</v>
      </c>
    </row>
    <row r="68" spans="2:13">
      <c r="B68" s="411" t="s">
        <v>16</v>
      </c>
      <c r="C68" s="304" t="s">
        <v>2</v>
      </c>
      <c r="D68" s="305" t="s">
        <v>240</v>
      </c>
      <c r="E68" s="306">
        <f>IF(שאלון!$C$15&gt;80,K68,IF(שאלון!$C$15&gt;=41,J68,IF(שאלון!$C$15&gt;=0,I68,"")))</f>
        <v>2</v>
      </c>
      <c r="F68" s="307">
        <v>2000</v>
      </c>
      <c r="G68" s="307">
        <f>תקן[[#This Row],[עלות פריט]]*תקן[[#This Row],[כמות]]</f>
        <v>4000</v>
      </c>
      <c r="H68" s="308" t="b">
        <v>0</v>
      </c>
      <c r="I68" s="309">
        <v>2</v>
      </c>
      <c r="J68" s="309">
        <v>3</v>
      </c>
      <c r="K68" s="309">
        <v>4</v>
      </c>
      <c r="L68" s="309"/>
      <c r="M68" s="416" t="s">
        <v>446</v>
      </c>
    </row>
    <row r="69" spans="2:13">
      <c r="B69" s="411" t="s">
        <v>16</v>
      </c>
      <c r="C69" s="304" t="s">
        <v>6</v>
      </c>
      <c r="D69" s="305" t="s">
        <v>245</v>
      </c>
      <c r="E69" s="306">
        <f>IF(שאלון!$C$15&gt;80,K69,IF(שאלון!$C$15&gt;=41,J69,IF(שאלון!$C$15&gt;=0,I69,"")))</f>
        <v>1</v>
      </c>
      <c r="F69" s="307">
        <v>1500</v>
      </c>
      <c r="G69" s="307">
        <f>תקן[[#This Row],[עלות פריט]]*תקן[[#This Row],[כמות]]</f>
        <v>1500</v>
      </c>
      <c r="H69" s="308" t="b">
        <v>0</v>
      </c>
      <c r="I69" s="309">
        <v>1</v>
      </c>
      <c r="J69" s="309">
        <v>1</v>
      </c>
      <c r="K69" s="309">
        <v>1</v>
      </c>
      <c r="L69" s="309"/>
      <c r="M69" s="416" t="s">
        <v>253</v>
      </c>
    </row>
    <row r="70" spans="2:13">
      <c r="B70" s="411" t="s">
        <v>16</v>
      </c>
      <c r="C70" s="304" t="s">
        <v>42</v>
      </c>
      <c r="D70" s="305" t="s">
        <v>241</v>
      </c>
      <c r="E70" s="306">
        <f>IF(שאלון!$C$15&gt;80,K70,IF(שאלון!$C$15&gt;=41,J70,IF(שאלון!$C$15&gt;=0,I70,"")))</f>
        <v>1</v>
      </c>
      <c r="F70" s="307">
        <v>4500</v>
      </c>
      <c r="G70" s="307">
        <f>תקן[[#This Row],[עלות פריט]]*תקן[[#This Row],[כמות]]</f>
        <v>4500</v>
      </c>
      <c r="H70" s="308" t="b">
        <v>0</v>
      </c>
      <c r="I70" s="309">
        <v>1</v>
      </c>
      <c r="J70" s="309">
        <v>2</v>
      </c>
      <c r="K70" s="309">
        <v>3</v>
      </c>
      <c r="L70" s="309"/>
      <c r="M70" s="416" t="s">
        <v>446</v>
      </c>
    </row>
    <row r="71" spans="2:13">
      <c r="B71" s="411" t="s">
        <v>16</v>
      </c>
      <c r="C71" s="304" t="s">
        <v>42</v>
      </c>
      <c r="D71" s="305" t="s">
        <v>33</v>
      </c>
      <c r="E71" s="306">
        <f>IF(שאלון!$C$15&gt;80,K71,IF(שאלון!$C$15&gt;=41,J71,IF(שאלון!$C$15&gt;=0,I71,"")))</f>
        <v>1</v>
      </c>
      <c r="F71" s="307">
        <v>2500</v>
      </c>
      <c r="G71" s="307">
        <f>תקן[[#This Row],[עלות פריט]]*תקן[[#This Row],[כמות]]</f>
        <v>2500</v>
      </c>
      <c r="H71" s="308" t="b">
        <v>0</v>
      </c>
      <c r="I71" s="309">
        <v>1</v>
      </c>
      <c r="J71" s="309">
        <v>2</v>
      </c>
      <c r="K71" s="309">
        <v>2</v>
      </c>
      <c r="L71" s="309"/>
      <c r="M71" s="416" t="s">
        <v>446</v>
      </c>
    </row>
    <row r="72" spans="2:13">
      <c r="B72" s="411" t="s">
        <v>16</v>
      </c>
      <c r="C72" s="304" t="s">
        <v>42</v>
      </c>
      <c r="D72" s="305" t="s">
        <v>307</v>
      </c>
      <c r="E72" s="306">
        <f>IF(שאלון!$C$15&gt;80,K72,IF(שאלון!$C$15&gt;=41,J72,IF(שאלון!$C$15&gt;=0,I72,"")))</f>
        <v>1</v>
      </c>
      <c r="F72" s="307">
        <v>6500</v>
      </c>
      <c r="G72" s="307">
        <f>תקן[[#This Row],[עלות פריט]]*תקן[[#This Row],[כמות]]</f>
        <v>6500</v>
      </c>
      <c r="H72" s="308" t="b">
        <v>0</v>
      </c>
      <c r="I72" s="309">
        <v>1</v>
      </c>
      <c r="J72" s="309">
        <v>1</v>
      </c>
      <c r="K72" s="309">
        <v>2</v>
      </c>
      <c r="L72" s="309"/>
      <c r="M72" s="416" t="s">
        <v>446</v>
      </c>
    </row>
    <row r="73" spans="2:13" ht="30">
      <c r="B73" s="411" t="s">
        <v>16</v>
      </c>
      <c r="C73" s="304" t="s">
        <v>42</v>
      </c>
      <c r="D73" s="305" t="s">
        <v>308</v>
      </c>
      <c r="E73" s="310">
        <f>ROUNDUP(שאלון!$C$15*1.15,0)</f>
        <v>0</v>
      </c>
      <c r="F73" s="307">
        <v>600</v>
      </c>
      <c r="G73" s="307">
        <f>תקן[[#This Row],[עלות פריט]]*תקן[[#This Row],[כמות]]</f>
        <v>0</v>
      </c>
      <c r="H73" s="308" t="b">
        <v>1</v>
      </c>
      <c r="I73" s="309"/>
      <c r="J73" s="309"/>
      <c r="K73" s="309"/>
      <c r="L73" s="309"/>
      <c r="M73" s="416" t="s">
        <v>302</v>
      </c>
    </row>
    <row r="74" spans="2:13" ht="45">
      <c r="B74" s="411" t="s">
        <v>16</v>
      </c>
      <c r="C74" s="304" t="s">
        <v>42</v>
      </c>
      <c r="D74" s="305" t="s">
        <v>247</v>
      </c>
      <c r="E74" s="310">
        <f>ROUNDUP(שאלון!$C$15*1.15/6,0)</f>
        <v>0</v>
      </c>
      <c r="F74" s="307">
        <v>3500</v>
      </c>
      <c r="G74" s="307">
        <f>תקן[[#This Row],[עלות פריט]]*תקן[[#This Row],[כמות]]</f>
        <v>0</v>
      </c>
      <c r="H74" s="308" t="b">
        <v>1</v>
      </c>
      <c r="I74" s="309"/>
      <c r="J74" s="309"/>
      <c r="K74" s="309"/>
      <c r="L74" s="309"/>
      <c r="M74" s="416" t="s">
        <v>305</v>
      </c>
    </row>
    <row r="75" spans="2:13">
      <c r="B75" s="411" t="s">
        <v>16</v>
      </c>
      <c r="C75" s="304" t="s">
        <v>41</v>
      </c>
      <c r="D75" s="305" t="s">
        <v>241</v>
      </c>
      <c r="E75" s="306">
        <f>IF(שאלון!$C$15&gt;80,K75,IF(שאלון!$C$15&gt;=41,J75,IF(שאלון!$C$15&gt;=0,I75,"")))</f>
        <v>1</v>
      </c>
      <c r="F75" s="307">
        <v>4500</v>
      </c>
      <c r="G75" s="307">
        <f>תקן[[#This Row],[עלות פריט]]*תקן[[#This Row],[כמות]]</f>
        <v>4500</v>
      </c>
      <c r="H75" s="308" t="b">
        <v>0</v>
      </c>
      <c r="I75" s="309">
        <v>1</v>
      </c>
      <c r="J75" s="309">
        <v>2</v>
      </c>
      <c r="K75" s="309">
        <v>2</v>
      </c>
      <c r="L75" s="309"/>
      <c r="M75" s="416" t="s">
        <v>446</v>
      </c>
    </row>
    <row r="76" spans="2:13">
      <c r="B76" s="411" t="s">
        <v>16</v>
      </c>
      <c r="C76" s="304" t="s">
        <v>41</v>
      </c>
      <c r="D76" s="305" t="s">
        <v>33</v>
      </c>
      <c r="E76" s="306">
        <f>IF(שאלון!$C$15&gt;80,K76,IF(שאלון!$C$15&gt;=41,J76,IF(שאלון!$C$15&gt;=0,I76,"")))</f>
        <v>1</v>
      </c>
      <c r="F76" s="307">
        <v>2500</v>
      </c>
      <c r="G76" s="307">
        <f>תקן[[#This Row],[עלות פריט]]*תקן[[#This Row],[כמות]]</f>
        <v>2500</v>
      </c>
      <c r="H76" s="308" t="b">
        <v>0</v>
      </c>
      <c r="I76" s="309">
        <v>1</v>
      </c>
      <c r="J76" s="309">
        <v>1</v>
      </c>
      <c r="K76" s="309">
        <v>1</v>
      </c>
      <c r="L76" s="309"/>
      <c r="M76" s="416" t="s">
        <v>253</v>
      </c>
    </row>
    <row r="77" spans="2:13">
      <c r="B77" s="411" t="s">
        <v>16</v>
      </c>
      <c r="C77" s="304" t="s">
        <v>41</v>
      </c>
      <c r="D77" s="305" t="s">
        <v>78</v>
      </c>
      <c r="E77" s="306">
        <f>IF(שאלון!$C$15&gt;80,K77,IF(שאלון!$C$15&gt;=41,J77,IF(שאלון!$C$15&gt;=0,I77,"")))</f>
        <v>1</v>
      </c>
      <c r="F77" s="307">
        <v>6000</v>
      </c>
      <c r="G77" s="307">
        <f>תקן[[#This Row],[עלות פריט]]*תקן[[#This Row],[כמות]]</f>
        <v>6000</v>
      </c>
      <c r="H77" s="308" t="b">
        <v>0</v>
      </c>
      <c r="I77" s="309">
        <v>1</v>
      </c>
      <c r="J77" s="309">
        <v>1</v>
      </c>
      <c r="K77" s="309">
        <v>1</v>
      </c>
      <c r="L77" s="309"/>
      <c r="M77" s="416" t="s">
        <v>253</v>
      </c>
    </row>
    <row r="78" spans="2:13">
      <c r="B78" s="411" t="s">
        <v>16</v>
      </c>
      <c r="C78" s="304" t="s">
        <v>41</v>
      </c>
      <c r="D78" s="305" t="s">
        <v>32</v>
      </c>
      <c r="E78" s="306">
        <f>IF(שאלון!$C$15&gt;80,K78,IF(שאלון!$C$15&gt;=41,J78,IF(שאלון!$C$15&gt;=0,I78,"")))</f>
        <v>1</v>
      </c>
      <c r="F78" s="307">
        <v>1000</v>
      </c>
      <c r="G78" s="307">
        <f>תקן[[#This Row],[עלות פריט]]*תקן[[#This Row],[כמות]]</f>
        <v>1000</v>
      </c>
      <c r="H78" s="308" t="b">
        <v>0</v>
      </c>
      <c r="I78" s="309">
        <v>1</v>
      </c>
      <c r="J78" s="309">
        <v>1</v>
      </c>
      <c r="K78" s="309">
        <v>1</v>
      </c>
      <c r="L78" s="309"/>
      <c r="M78" s="416" t="s">
        <v>253</v>
      </c>
    </row>
    <row r="79" spans="2:13">
      <c r="B79" s="411" t="s">
        <v>16</v>
      </c>
      <c r="C79" s="304" t="s">
        <v>41</v>
      </c>
      <c r="D79" s="305" t="s">
        <v>310</v>
      </c>
      <c r="E79" s="306">
        <f>IF(שאלון!$C$15&gt;80,K79,IF(שאלון!$C$15&gt;=41,J79,IF(שאלון!$C$15&gt;=0,I79,"")))</f>
        <v>1</v>
      </c>
      <c r="F79" s="307">
        <v>2500</v>
      </c>
      <c r="G79" s="307">
        <f>תקן[[#This Row],[עלות פריט]]*תקן[[#This Row],[כמות]]</f>
        <v>2500</v>
      </c>
      <c r="H79" s="308" t="b">
        <v>0</v>
      </c>
      <c r="I79" s="309">
        <v>1</v>
      </c>
      <c r="J79" s="309">
        <v>2</v>
      </c>
      <c r="K79" s="309">
        <v>3</v>
      </c>
      <c r="L79" s="309"/>
      <c r="M79" s="416" t="s">
        <v>446</v>
      </c>
    </row>
    <row r="80" spans="2:13">
      <c r="B80" s="411" t="s">
        <v>16</v>
      </c>
      <c r="C80" s="304" t="s">
        <v>41</v>
      </c>
      <c r="D80" s="305" t="s">
        <v>419</v>
      </c>
      <c r="E80" s="306">
        <f>IF(שאלון!$C$15&gt;80,K80,IF(שאלון!$C$15&gt;=41,J80,IF(שאלון!$C$15&gt;=0,I80,"")))</f>
        <v>1</v>
      </c>
      <c r="F80" s="402">
        <v>1000</v>
      </c>
      <c r="G80" s="307">
        <f>תקן[[#This Row],[עלות פריט]]*תקן[[#This Row],[כמות]]</f>
        <v>1000</v>
      </c>
      <c r="H80" s="403" t="b">
        <v>0</v>
      </c>
      <c r="I80" s="404">
        <v>1</v>
      </c>
      <c r="J80" s="404">
        <v>2</v>
      </c>
      <c r="K80" s="404">
        <v>3</v>
      </c>
      <c r="L80" s="304"/>
      <c r="M80" s="416" t="s">
        <v>446</v>
      </c>
    </row>
    <row r="81" spans="2:13">
      <c r="B81" s="411" t="s">
        <v>16</v>
      </c>
      <c r="C81" s="304" t="s">
        <v>333</v>
      </c>
      <c r="D81" s="305" t="s">
        <v>316</v>
      </c>
      <c r="E81" s="306">
        <f>IF(שאלון!$C$15&gt;80,K81,IF(שאלון!$C$15&gt;=41,J81,IF(שאלון!$C$15&gt;=0,I81,"")))</f>
        <v>1</v>
      </c>
      <c r="F81" s="307">
        <v>5000</v>
      </c>
      <c r="G81" s="307">
        <f>תקן[[#This Row],[עלות פריט]]*תקן[[#This Row],[כמות]]</f>
        <v>5000</v>
      </c>
      <c r="H81" s="308" t="b">
        <v>0</v>
      </c>
      <c r="I81" s="309">
        <v>1</v>
      </c>
      <c r="J81" s="309">
        <v>2</v>
      </c>
      <c r="K81" s="309">
        <v>2</v>
      </c>
      <c r="L81" s="309"/>
      <c r="M81" s="416" t="s">
        <v>446</v>
      </c>
    </row>
    <row r="82" spans="2:13">
      <c r="B82" s="411" t="s">
        <v>16</v>
      </c>
      <c r="C82" s="304" t="s">
        <v>333</v>
      </c>
      <c r="D82" s="305" t="s">
        <v>317</v>
      </c>
      <c r="E82" s="306">
        <f>IF(שאלון!$C$15&gt;80,K82,IF(שאלון!$C$15&gt;=41,J82,IF(שאלון!$C$15&gt;=0,I82,"")))</f>
        <v>1</v>
      </c>
      <c r="F82" s="307">
        <v>5000</v>
      </c>
      <c r="G82" s="307">
        <f>תקן[[#This Row],[עלות פריט]]*תקן[[#This Row],[כמות]]</f>
        <v>5000</v>
      </c>
      <c r="H82" s="308" t="b">
        <v>0</v>
      </c>
      <c r="I82" s="309">
        <v>1</v>
      </c>
      <c r="J82" s="309">
        <v>2</v>
      </c>
      <c r="K82" s="309">
        <v>2</v>
      </c>
      <c r="L82" s="309"/>
      <c r="M82" s="416" t="s">
        <v>446</v>
      </c>
    </row>
    <row r="83" spans="2:13">
      <c r="B83" s="411" t="s">
        <v>16</v>
      </c>
      <c r="C83" s="304" t="s">
        <v>24</v>
      </c>
      <c r="D83" s="305" t="s">
        <v>241</v>
      </c>
      <c r="E83" s="306">
        <f>IF(שאלון!$C$15&gt;80,K83,IF(שאלון!$C$15&gt;=41,J83,IF(שאלון!$C$15&gt;=0,I83,"")))</f>
        <v>1</v>
      </c>
      <c r="F83" s="307">
        <v>4500</v>
      </c>
      <c r="G83" s="307">
        <f>תקן[[#This Row],[עלות פריט]]*תקן[[#This Row],[כמות]]</f>
        <v>4500</v>
      </c>
      <c r="H83" s="308" t="b">
        <v>0</v>
      </c>
      <c r="I83" s="309">
        <v>1</v>
      </c>
      <c r="J83" s="309">
        <v>2</v>
      </c>
      <c r="K83" s="309">
        <v>3</v>
      </c>
      <c r="L83" s="309"/>
      <c r="M83" s="416" t="s">
        <v>446</v>
      </c>
    </row>
    <row r="84" spans="2:13" ht="28.5">
      <c r="B84" s="411" t="s">
        <v>16</v>
      </c>
      <c r="C84" s="304" t="s">
        <v>24</v>
      </c>
      <c r="D84" s="305" t="s">
        <v>428</v>
      </c>
      <c r="E84" s="306">
        <f>IF(שאלון!$C$15&gt;80,K84,IF(שאלון!$C$15&gt;=41,J84,IF(שאלון!$C$15&gt;=0,I84,"")))</f>
        <v>30</v>
      </c>
      <c r="F84" s="307">
        <v>500</v>
      </c>
      <c r="G84" s="307">
        <f>תקן[[#This Row],[עלות פריט]]*תקן[[#This Row],[כמות]]</f>
        <v>15000</v>
      </c>
      <c r="H84" s="308" t="b">
        <v>0</v>
      </c>
      <c r="I84" s="309">
        <v>30</v>
      </c>
      <c r="J84" s="309">
        <v>40</v>
      </c>
      <c r="K84" s="309">
        <v>50</v>
      </c>
      <c r="L84" s="309"/>
      <c r="M84" s="416" t="s">
        <v>446</v>
      </c>
    </row>
    <row r="85" spans="2:13">
      <c r="B85" s="411" t="s">
        <v>16</v>
      </c>
      <c r="C85" s="304" t="s">
        <v>24</v>
      </c>
      <c r="D85" s="305" t="s">
        <v>1</v>
      </c>
      <c r="E85" s="306">
        <f>IF(שאלון!$C$15&gt;80,K85,IF(שאלון!$C$15&gt;=41,J85,IF(שאלון!$C$15&gt;=0,I85,"")))</f>
        <v>2</v>
      </c>
      <c r="F85" s="307">
        <v>1000</v>
      </c>
      <c r="G85" s="307">
        <f>תקן[[#This Row],[עלות פריט]]*תקן[[#This Row],[כמות]]</f>
        <v>2000</v>
      </c>
      <c r="H85" s="308" t="b">
        <v>0</v>
      </c>
      <c r="I85" s="309">
        <v>2</v>
      </c>
      <c r="J85" s="309">
        <v>4</v>
      </c>
      <c r="K85" s="309">
        <v>6</v>
      </c>
      <c r="L85" s="309"/>
      <c r="M85" s="416" t="s">
        <v>446</v>
      </c>
    </row>
    <row r="86" spans="2:13">
      <c r="B86" s="411" t="s">
        <v>16</v>
      </c>
      <c r="C86" s="311" t="s">
        <v>24</v>
      </c>
      <c r="D86" s="305" t="s">
        <v>76</v>
      </c>
      <c r="E86" s="306">
        <f>IF(שאלון!$C$15&gt;80,K86,IF(שאלון!$C$15&gt;=41,J86,IF(שאלון!$C$15&gt;=0,I86,"")))</f>
        <v>2</v>
      </c>
      <c r="F86" s="307">
        <v>1200</v>
      </c>
      <c r="G86" s="307">
        <f>תקן[[#This Row],[עלות פריט]]*תקן[[#This Row],[כמות]]</f>
        <v>2400</v>
      </c>
      <c r="H86" s="308" t="b">
        <v>0</v>
      </c>
      <c r="I86" s="309">
        <v>2</v>
      </c>
      <c r="J86" s="309">
        <v>2</v>
      </c>
      <c r="K86" s="309">
        <v>2</v>
      </c>
      <c r="L86" s="309"/>
      <c r="M86" s="416" t="s">
        <v>253</v>
      </c>
    </row>
    <row r="87" spans="2:13">
      <c r="B87" s="411" t="s">
        <v>16</v>
      </c>
      <c r="C87" s="304" t="s">
        <v>411</v>
      </c>
      <c r="D87" s="305" t="s">
        <v>307</v>
      </c>
      <c r="E87" s="306">
        <f>IF(שאלון!$C$15&gt;80,K87,IF(שאלון!$C$15&gt;=41,J87,IF(שאלון!$C$15&gt;=0,I87,"")))</f>
        <v>1</v>
      </c>
      <c r="F87" s="307">
        <v>6500</v>
      </c>
      <c r="G87" s="307">
        <f>תקן[[#This Row],[עלות פריט]]*תקן[[#This Row],[כמות]]</f>
        <v>6500</v>
      </c>
      <c r="H87" s="308" t="b">
        <v>0</v>
      </c>
      <c r="I87" s="309">
        <v>1</v>
      </c>
      <c r="J87" s="309">
        <v>1</v>
      </c>
      <c r="K87" s="309">
        <v>1</v>
      </c>
      <c r="L87" s="309"/>
      <c r="M87" s="416" t="s">
        <v>253</v>
      </c>
    </row>
    <row r="88" spans="2:13">
      <c r="B88" s="411" t="s">
        <v>16</v>
      </c>
      <c r="C88" s="304" t="s">
        <v>411</v>
      </c>
      <c r="D88" s="305" t="s">
        <v>13</v>
      </c>
      <c r="E88" s="306">
        <f>IF(שאלון!$C$15&gt;80,K88,IF(שאלון!$C$15&gt;=41,J88,IF(שאלון!$C$15&gt;=0,I88,"")))</f>
        <v>2</v>
      </c>
      <c r="F88" s="307">
        <v>1000</v>
      </c>
      <c r="G88" s="307">
        <f>תקן[[#This Row],[עלות פריט]]*תקן[[#This Row],[כמות]]</f>
        <v>2000</v>
      </c>
      <c r="H88" s="308" t="b">
        <v>0</v>
      </c>
      <c r="I88" s="309">
        <v>2</v>
      </c>
      <c r="J88" s="309">
        <v>4</v>
      </c>
      <c r="K88" s="309">
        <v>8</v>
      </c>
      <c r="L88" s="309"/>
      <c r="M88" s="416" t="s">
        <v>446</v>
      </c>
    </row>
    <row r="89" spans="2:13">
      <c r="B89" s="411" t="s">
        <v>16</v>
      </c>
      <c r="C89" s="304" t="s">
        <v>411</v>
      </c>
      <c r="D89" s="305" t="s">
        <v>308</v>
      </c>
      <c r="E89" s="306">
        <f>IF(שאלון!$C$15&gt;80,K89,IF(שאלון!$C$15&gt;=41,J89,IF(שאלון!$C$15&gt;=0,I89,"")))</f>
        <v>3</v>
      </c>
      <c r="F89" s="307">
        <v>600</v>
      </c>
      <c r="G89" s="307">
        <f>תקן[[#This Row],[עלות פריט]]*תקן[[#This Row],[כמות]]</f>
        <v>1800</v>
      </c>
      <c r="H89" s="308" t="b">
        <v>0</v>
      </c>
      <c r="I89" s="309">
        <v>3</v>
      </c>
      <c r="J89" s="309">
        <v>6</v>
      </c>
      <c r="K89" s="309">
        <v>9</v>
      </c>
      <c r="L89" s="309"/>
      <c r="M89" s="416" t="s">
        <v>446</v>
      </c>
    </row>
    <row r="90" spans="2:13">
      <c r="B90" s="411" t="s">
        <v>16</v>
      </c>
      <c r="C90" s="304" t="s">
        <v>411</v>
      </c>
      <c r="D90" s="305" t="s">
        <v>309</v>
      </c>
      <c r="E90" s="306">
        <f>IF(שאלון!$C$15&gt;80,K90,IF(שאלון!$C$15&gt;=41,J90,IF(שאלון!$C$15&gt;=0,I90,"")))</f>
        <v>1</v>
      </c>
      <c r="F90" s="307">
        <v>1200</v>
      </c>
      <c r="G90" s="307">
        <f>תקן[[#This Row],[עלות פריט]]*תקן[[#This Row],[כמות]]</f>
        <v>1200</v>
      </c>
      <c r="H90" s="308" t="b">
        <v>0</v>
      </c>
      <c r="I90" s="309">
        <v>1</v>
      </c>
      <c r="J90" s="309">
        <v>2</v>
      </c>
      <c r="K90" s="309">
        <v>3</v>
      </c>
      <c r="L90" s="309"/>
      <c r="M90" s="416" t="s">
        <v>446</v>
      </c>
    </row>
    <row r="91" spans="2:13">
      <c r="B91" s="411" t="s">
        <v>16</v>
      </c>
      <c r="C91" s="304" t="s">
        <v>25</v>
      </c>
      <c r="D91" s="305" t="s">
        <v>80</v>
      </c>
      <c r="E91" s="306">
        <f>IF(שאלון!$C$15&gt;80,K91,IF(שאלון!$C$15&gt;=41,J91,IF(שאלון!$C$15&gt;=0,I91,"")))</f>
        <v>1</v>
      </c>
      <c r="F91" s="307">
        <v>12000</v>
      </c>
      <c r="G91" s="307">
        <f>תקן[[#This Row],[עלות פריט]]*תקן[[#This Row],[כמות]]</f>
        <v>12000</v>
      </c>
      <c r="H91" s="308" t="b">
        <v>0</v>
      </c>
      <c r="I91" s="309">
        <v>1</v>
      </c>
      <c r="J91" s="309">
        <v>1</v>
      </c>
      <c r="K91" s="309">
        <v>1</v>
      </c>
      <c r="L91" s="309"/>
      <c r="M91" s="416" t="s">
        <v>253</v>
      </c>
    </row>
    <row r="92" spans="2:13">
      <c r="B92" s="411" t="s">
        <v>16</v>
      </c>
      <c r="C92" s="304" t="s">
        <v>25</v>
      </c>
      <c r="D92" s="305" t="s">
        <v>23</v>
      </c>
      <c r="E92" s="306">
        <f>IF(שאלון!$C$15&gt;80,K92,IF(שאלון!$C$15&gt;=41,J92,IF(שאלון!$C$15&gt;=0,I92,"")))</f>
        <v>1</v>
      </c>
      <c r="F92" s="307">
        <v>1500</v>
      </c>
      <c r="G92" s="307">
        <f>תקן[[#This Row],[עלות פריט]]*תקן[[#This Row],[כמות]]</f>
        <v>1500</v>
      </c>
      <c r="H92" s="308" t="b">
        <v>0</v>
      </c>
      <c r="I92" s="309">
        <v>1</v>
      </c>
      <c r="J92" s="309">
        <v>2</v>
      </c>
      <c r="K92" s="309">
        <v>2</v>
      </c>
      <c r="L92" s="309"/>
      <c r="M92" s="416" t="s">
        <v>446</v>
      </c>
    </row>
    <row r="93" spans="2:13">
      <c r="B93" s="411" t="s">
        <v>16</v>
      </c>
      <c r="C93" s="304" t="s">
        <v>25</v>
      </c>
      <c r="D93" s="305" t="s">
        <v>243</v>
      </c>
      <c r="E93" s="306">
        <f>IF(שאלון!$C$15&gt;80,K93,IF(שאלון!$C$15&gt;=41,J93,IF(שאלון!$C$15&gt;=0,I93,"")))</f>
        <v>2</v>
      </c>
      <c r="F93" s="307">
        <v>1500</v>
      </c>
      <c r="G93" s="307">
        <f>תקן[[#This Row],[עלות פריט]]*תקן[[#This Row],[כמות]]</f>
        <v>3000</v>
      </c>
      <c r="H93" s="308" t="b">
        <v>0</v>
      </c>
      <c r="I93" s="309">
        <v>2</v>
      </c>
      <c r="J93" s="309">
        <v>3</v>
      </c>
      <c r="K93" s="309">
        <v>4</v>
      </c>
      <c r="L93" s="309"/>
      <c r="M93" s="416" t="s">
        <v>446</v>
      </c>
    </row>
    <row r="94" spans="2:13">
      <c r="B94" s="411" t="s">
        <v>16</v>
      </c>
      <c r="C94" s="304" t="s">
        <v>25</v>
      </c>
      <c r="D94" s="305" t="s">
        <v>46</v>
      </c>
      <c r="E94" s="306">
        <f>IF(שאלון!$C$15&gt;80,K94,IF(שאלון!$C$15&gt;=41,J94,IF(שאלון!$C$15&gt;=0,I94,"")))</f>
        <v>1</v>
      </c>
      <c r="F94" s="307">
        <v>500</v>
      </c>
      <c r="G94" s="307">
        <f>תקן[[#This Row],[עלות פריט]]*תקן[[#This Row],[כמות]]</f>
        <v>500</v>
      </c>
      <c r="H94" s="308" t="b">
        <v>0</v>
      </c>
      <c r="I94" s="309">
        <v>1</v>
      </c>
      <c r="J94" s="309">
        <v>2</v>
      </c>
      <c r="K94" s="309">
        <v>2</v>
      </c>
      <c r="L94" s="309"/>
      <c r="M94" s="416" t="s">
        <v>446</v>
      </c>
    </row>
    <row r="95" spans="2:13" ht="51.75" customHeight="1">
      <c r="B95" s="411" t="s">
        <v>16</v>
      </c>
      <c r="C95" s="313" t="s">
        <v>25</v>
      </c>
      <c r="D95" s="321" t="s">
        <v>312</v>
      </c>
      <c r="E95" s="315">
        <f>IF(שאלון!$C$15&gt;80,K95,IF(שאלון!$C$15&gt;=41,J95,IF(שאלון!$C$15&gt;=0,I95,"")))</f>
        <v>1</v>
      </c>
      <c r="F95" s="316">
        <v>5000</v>
      </c>
      <c r="G95" s="307">
        <f>תקן[[#This Row],[עלות פריט]]*תקן[[#This Row],[כמות]]</f>
        <v>5000</v>
      </c>
      <c r="H95" s="317" t="b">
        <v>0</v>
      </c>
      <c r="I95" s="313">
        <v>1</v>
      </c>
      <c r="J95" s="313">
        <v>2</v>
      </c>
      <c r="K95" s="313">
        <v>3</v>
      </c>
      <c r="L95" s="313"/>
      <c r="M95" s="416" t="s">
        <v>446</v>
      </c>
    </row>
    <row r="96" spans="2:13">
      <c r="B96" s="411" t="s">
        <v>16</v>
      </c>
      <c r="C96" s="304" t="s">
        <v>25</v>
      </c>
      <c r="D96" s="305" t="s">
        <v>311</v>
      </c>
      <c r="E96" s="306">
        <f>IF(שאלון!$C$15&gt;80,K96,IF(שאלון!$C$15&gt;=41,J96,IF(שאלון!$C$15&gt;=0,I96,"")))</f>
        <v>2</v>
      </c>
      <c r="F96" s="307">
        <v>3500</v>
      </c>
      <c r="G96" s="307">
        <f>תקן[[#This Row],[עלות פריט]]*תקן[[#This Row],[כמות]]</f>
        <v>7000</v>
      </c>
      <c r="H96" s="308" t="b">
        <v>0</v>
      </c>
      <c r="I96" s="309">
        <v>2</v>
      </c>
      <c r="J96" s="309">
        <v>3</v>
      </c>
      <c r="K96" s="309">
        <v>4</v>
      </c>
      <c r="L96" s="309"/>
      <c r="M96" s="416" t="s">
        <v>446</v>
      </c>
    </row>
    <row r="97" spans="2:13">
      <c r="B97" s="412" t="s">
        <v>16</v>
      </c>
      <c r="C97" s="318" t="s">
        <v>12</v>
      </c>
      <c r="D97" s="405" t="s">
        <v>245</v>
      </c>
      <c r="E97" s="406">
        <f>IF(שאלון!$C$15&gt;80,K97,IF(שאלון!$C$15&gt;=41,J97,IF(שאלון!$C$15&gt;=0,I97,"")))</f>
        <v>1</v>
      </c>
      <c r="F97" s="407">
        <v>1500</v>
      </c>
      <c r="G97" s="407">
        <f>תקן[[#This Row],[עלות פריט]]*תקן[[#This Row],[כמות]]</f>
        <v>1500</v>
      </c>
      <c r="H97" s="418" t="b">
        <v>0</v>
      </c>
      <c r="I97" s="419">
        <v>1</v>
      </c>
      <c r="J97" s="419">
        <v>1</v>
      </c>
      <c r="K97" s="419">
        <v>1</v>
      </c>
      <c r="L97" s="419"/>
      <c r="M97" s="416" t="s">
        <v>253</v>
      </c>
    </row>
  </sheetData>
  <sheetProtection algorithmName="SHA-512" hashValue="nAwl+iLQp8K1lQ+Tb+C2doodl1IIXCKASHeqaH1WfY89pj/ZcMWN/a5SCFUd0+xBZ4rVtxN9H9mki6khDDkQ2w==" saltValue="OJHqm5czHBDVpw2UtpYaCg==" spinCount="100000" sheet="1" objects="1" scenarios="1"/>
  <mergeCells count="4">
    <mergeCell ref="B5:F5"/>
    <mergeCell ref="B6:F6"/>
    <mergeCell ref="B7:D7"/>
    <mergeCell ref="E7:F7"/>
  </mergeCells>
  <conditionalFormatting sqref="M1:M1048576">
    <cfRule type="containsText" dxfId="44" priority="1" operator="containsText" text="כמות">
      <formula>NOT(ISERROR(SEARCH("כמות",M1)))</formula>
    </cfRule>
    <cfRule type="cellIs" dxfId="43" priority="2" operator="equal">
      <formula>"לפי גודל מרכז"</formula>
    </cfRule>
    <cfRule type="cellIs" dxfId="42" priority="3" operator="equal">
      <formula>"אחיד לכל גודל"</formula>
    </cfRule>
  </conditionalFormatting>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4"/>
  <dimension ref="A1:S98"/>
  <sheetViews>
    <sheetView rightToLeft="1" workbookViewId="0">
      <selection activeCell="I13" sqref="I13"/>
    </sheetView>
  </sheetViews>
  <sheetFormatPr defaultColWidth="8.375" defaultRowHeight="15"/>
  <cols>
    <col min="1" max="1" width="3.125" style="375" customWidth="1"/>
    <col min="2" max="2" width="14" style="417" bestFit="1" customWidth="1"/>
    <col min="3" max="3" width="17.125" style="376" bestFit="1" customWidth="1"/>
    <col min="4" max="4" width="37.125" style="376" customWidth="1"/>
    <col min="5" max="5" width="7.625" style="393" customWidth="1"/>
    <col min="6" max="6" width="8.375" style="393"/>
    <col min="7" max="7" width="9.125" style="392" customWidth="1"/>
    <col min="8" max="8" width="8.375" style="376"/>
    <col min="9" max="9" width="10.125" style="393" customWidth="1"/>
    <col min="10" max="10" width="13.125" style="392" customWidth="1"/>
    <col min="11" max="11" width="9.125" style="394" customWidth="1"/>
    <col min="12" max="12" width="14.875" style="395" customWidth="1"/>
    <col min="13" max="13" width="6.25" style="388" customWidth="1"/>
    <col min="14" max="14" width="11.25" style="393" customWidth="1"/>
    <col min="15" max="15" width="12.875" style="392" customWidth="1"/>
    <col min="16" max="16" width="8.375" style="394" customWidth="1"/>
    <col min="17" max="17" width="16.25" style="396" customWidth="1"/>
    <col min="18" max="16384" width="8.375" style="88"/>
  </cols>
  <sheetData>
    <row r="1" spans="1:19" s="83" customFormat="1" ht="12.75" thickBot="1">
      <c r="A1" s="366"/>
      <c r="B1" s="465"/>
      <c r="C1" s="369"/>
      <c r="D1" s="369"/>
      <c r="E1" s="368"/>
      <c r="F1" s="368"/>
      <c r="G1" s="367"/>
      <c r="H1" s="369"/>
      <c r="I1" s="368"/>
      <c r="J1" s="367"/>
      <c r="K1" s="370"/>
      <c r="L1" s="371"/>
      <c r="M1" s="372"/>
      <c r="N1" s="368"/>
      <c r="O1" s="367"/>
      <c r="P1" s="370"/>
      <c r="Q1" s="373"/>
    </row>
    <row r="2" spans="1:19" s="83" customFormat="1" ht="18.75" thickBot="1">
      <c r="A2" s="366"/>
      <c r="B2" s="557" t="s">
        <v>124</v>
      </c>
      <c r="C2" s="558"/>
      <c r="D2" s="558"/>
      <c r="E2" s="558"/>
      <c r="F2" s="558"/>
      <c r="G2" s="558"/>
      <c r="H2" s="558"/>
      <c r="I2" s="558"/>
      <c r="J2" s="558"/>
      <c r="K2" s="558"/>
      <c r="L2" s="558"/>
      <c r="M2" s="558"/>
      <c r="N2" s="558"/>
      <c r="O2" s="558"/>
      <c r="P2" s="558"/>
      <c r="Q2" s="559"/>
    </row>
    <row r="3" spans="1:19" s="83" customFormat="1" ht="18.75" thickBot="1">
      <c r="A3" s="366"/>
      <c r="B3" s="563" t="s">
        <v>342</v>
      </c>
      <c r="C3" s="564"/>
      <c r="D3" s="564"/>
      <c r="E3" s="564"/>
      <c r="F3" s="564"/>
      <c r="G3" s="564"/>
      <c r="H3" s="564"/>
      <c r="I3" s="564"/>
      <c r="J3" s="564"/>
      <c r="K3" s="564"/>
      <c r="L3" s="564"/>
      <c r="M3" s="564"/>
      <c r="N3" s="564"/>
      <c r="O3" s="564"/>
      <c r="P3" s="564"/>
      <c r="Q3" s="565"/>
      <c r="R3" s="354"/>
      <c r="S3" s="354"/>
    </row>
    <row r="4" spans="1:19" s="83" customFormat="1" ht="21.75" thickTop="1" thickBot="1">
      <c r="A4" s="366"/>
      <c r="B4" s="566" t="s">
        <v>326</v>
      </c>
      <c r="C4" s="567"/>
      <c r="D4" s="567"/>
      <c r="E4" s="567"/>
      <c r="F4" s="568"/>
      <c r="G4" s="510">
        <f>שאלון!C15</f>
        <v>0</v>
      </c>
      <c r="H4" s="374"/>
      <c r="I4" s="85"/>
      <c r="J4" s="85"/>
      <c r="K4" s="85"/>
      <c r="L4" s="85"/>
      <c r="M4" s="85"/>
      <c r="N4" s="85"/>
      <c r="O4" s="84"/>
      <c r="P4" s="86"/>
      <c r="Q4" s="87"/>
    </row>
    <row r="5" spans="1:19" s="83" customFormat="1" ht="15.75" thickTop="1">
      <c r="A5" s="366"/>
      <c r="B5" s="560" t="s">
        <v>254</v>
      </c>
      <c r="C5" s="561"/>
      <c r="D5" s="561"/>
      <c r="E5" s="561"/>
      <c r="F5" s="561"/>
      <c r="G5" s="561"/>
      <c r="H5" s="561"/>
      <c r="I5" s="561"/>
      <c r="J5" s="561"/>
      <c r="K5" s="561"/>
      <c r="L5" s="561"/>
      <c r="M5" s="561"/>
      <c r="N5" s="561"/>
      <c r="O5" s="561"/>
      <c r="P5" s="561"/>
      <c r="Q5" s="562"/>
    </row>
    <row r="6" spans="1:19" s="83" customFormat="1">
      <c r="A6" s="366"/>
      <c r="B6" s="560" t="s">
        <v>344</v>
      </c>
      <c r="C6" s="561"/>
      <c r="D6" s="561"/>
      <c r="E6" s="561"/>
      <c r="F6" s="561"/>
      <c r="G6" s="561"/>
      <c r="H6" s="561"/>
      <c r="I6" s="561"/>
      <c r="J6" s="561"/>
      <c r="K6" s="561"/>
      <c r="L6" s="561"/>
      <c r="M6" s="561"/>
      <c r="N6" s="561"/>
      <c r="O6" s="561"/>
      <c r="P6" s="561"/>
      <c r="Q6" s="562"/>
    </row>
    <row r="7" spans="1:19" s="83" customFormat="1" ht="15.75" thickBot="1">
      <c r="A7" s="366"/>
      <c r="B7" s="569" t="s">
        <v>255</v>
      </c>
      <c r="C7" s="570"/>
      <c r="D7" s="570"/>
      <c r="E7" s="570"/>
      <c r="F7" s="570"/>
      <c r="G7" s="570"/>
      <c r="H7" s="570"/>
      <c r="I7" s="570"/>
      <c r="J7" s="570"/>
      <c r="K7" s="570"/>
      <c r="L7" s="570"/>
      <c r="M7" s="570"/>
      <c r="N7" s="570"/>
      <c r="O7" s="570"/>
      <c r="P7" s="570"/>
      <c r="Q7" s="571"/>
    </row>
    <row r="8" spans="1:19" s="83" customFormat="1" ht="12">
      <c r="A8" s="366"/>
      <c r="B8" s="465"/>
      <c r="C8" s="369"/>
      <c r="D8" s="369"/>
      <c r="E8" s="368"/>
      <c r="F8" s="368"/>
      <c r="G8" s="367"/>
      <c r="H8" s="369"/>
      <c r="I8" s="368"/>
      <c r="J8" s="367"/>
      <c r="K8" s="370"/>
      <c r="L8" s="371"/>
      <c r="M8" s="372"/>
      <c r="N8" s="368"/>
      <c r="O8" s="367"/>
      <c r="P8" s="370"/>
      <c r="Q8" s="373"/>
    </row>
    <row r="9" spans="1:19" ht="18">
      <c r="B9" s="554" t="s">
        <v>256</v>
      </c>
      <c r="C9" s="555"/>
      <c r="D9" s="555"/>
      <c r="E9" s="555"/>
      <c r="F9" s="555"/>
      <c r="G9" s="556"/>
      <c r="I9" s="551" t="s">
        <v>87</v>
      </c>
      <c r="J9" s="552"/>
      <c r="K9" s="552"/>
      <c r="L9" s="553"/>
      <c r="M9" s="377"/>
      <c r="N9" s="551" t="s">
        <v>330</v>
      </c>
      <c r="O9" s="552"/>
      <c r="P9" s="552"/>
      <c r="Q9" s="553"/>
    </row>
    <row r="10" spans="1:19" ht="31.5">
      <c r="B10" s="378" t="s">
        <v>85</v>
      </c>
      <c r="C10" s="378" t="s">
        <v>132</v>
      </c>
      <c r="D10" s="379" t="s">
        <v>19</v>
      </c>
      <c r="E10" s="380" t="s">
        <v>36</v>
      </c>
      <c r="F10" s="379" t="s">
        <v>86</v>
      </c>
      <c r="G10" s="378" t="s">
        <v>294</v>
      </c>
      <c r="H10" s="381"/>
      <c r="I10" s="242" t="s">
        <v>102</v>
      </c>
      <c r="J10" s="382" t="s">
        <v>127</v>
      </c>
      <c r="K10" s="382" t="s">
        <v>89</v>
      </c>
      <c r="L10" s="243" t="s">
        <v>104</v>
      </c>
      <c r="M10" s="377"/>
      <c r="N10" s="380" t="s">
        <v>105</v>
      </c>
      <c r="O10" s="382" t="s">
        <v>128</v>
      </c>
      <c r="P10" s="383" t="s">
        <v>89</v>
      </c>
      <c r="Q10" s="384" t="s">
        <v>331</v>
      </c>
    </row>
    <row r="11" spans="1:19" ht="28.5">
      <c r="B11" s="391" t="str">
        <f>תקן[[#This Row],[סוג פריט]]</f>
        <v>אביזרים</v>
      </c>
      <c r="C11" s="385" t="str">
        <f>תקן[[#This Row],[מיקום]]</f>
        <v>חדרי פעילות/תעסוקה</v>
      </c>
      <c r="D11" s="385" t="str">
        <f>תקן[[#This Row],[תיאור הפריט]]</f>
        <v>ציוד אישי למשתתף ( סלסלות, כלים ועוד) סכום גלובלי</v>
      </c>
      <c r="E11" s="385">
        <f>תקן[[#This Row],[כמות]]</f>
        <v>0</v>
      </c>
      <c r="F11" s="385">
        <f>תקן[[#This Row],[עלות פריט]]</f>
        <v>100</v>
      </c>
      <c r="G11" s="385">
        <f>תקן[[#This Row],[סהכ עלות]]</f>
        <v>0</v>
      </c>
      <c r="H11" s="386"/>
      <c r="I11" s="245"/>
      <c r="J11" s="385">
        <f t="shared" ref="J11:J94" si="0">I11*F11</f>
        <v>0</v>
      </c>
      <c r="K11" s="387" t="str">
        <f t="shared" ref="K11:K94" si="1">IF(J11=0,"",IF(OR(J11-$G11&gt;0,J11-$G11&lt;0),(J11-$G11)/$G11,""))</f>
        <v/>
      </c>
      <c r="L11" s="246"/>
      <c r="N11" s="389">
        <f t="shared" ref="N11:N94" si="2">I11</f>
        <v>0</v>
      </c>
      <c r="O11" s="385">
        <f t="shared" ref="O11:O94" si="3">N11*F11</f>
        <v>0</v>
      </c>
      <c r="P11" s="387" t="str">
        <f t="shared" ref="P11:P94" si="4">IF(O11=0,"",IF(OR(O11-$G11&gt;0,O11-$G11&lt;0),(O11-$G11)/$G11,""))</f>
        <v/>
      </c>
      <c r="Q11" s="390"/>
    </row>
    <row r="12" spans="1:19" ht="42.75">
      <c r="B12" s="391" t="str">
        <f>תקן[[#This Row],[סוג פריט]]</f>
        <v>אביזרים</v>
      </c>
      <c r="C12" s="385" t="str">
        <f>תקן[[#This Row],[מיקום]]</f>
        <v>חדרי צוות/רב תחומי</v>
      </c>
      <c r="D12" s="385" t="str">
        <f>תקן[[#This Row],[תיאור הפריט]]</f>
        <v>ציוד לחדר צוות רב תחומי - אחות ( מד חום, מד לחץ, דופק, סטורציה, ארון עזרה ראשונה, אפיפן ועוד) סכום גלובלי</v>
      </c>
      <c r="E12" s="385">
        <f>תקן[[#This Row],[כמות]]</f>
        <v>1</v>
      </c>
      <c r="F12" s="385">
        <f>תקן[[#This Row],[עלות פריט]]</f>
        <v>3000</v>
      </c>
      <c r="G12" s="385">
        <f>תקן[[#This Row],[סהכ עלות]]</f>
        <v>3000</v>
      </c>
      <c r="H12" s="386"/>
      <c r="I12" s="245"/>
      <c r="J12" s="385">
        <f t="shared" si="0"/>
        <v>0</v>
      </c>
      <c r="K12" s="387" t="str">
        <f t="shared" si="1"/>
        <v/>
      </c>
      <c r="L12" s="246"/>
      <c r="N12" s="389">
        <f t="shared" si="2"/>
        <v>0</v>
      </c>
      <c r="O12" s="385">
        <f t="shared" si="3"/>
        <v>0</v>
      </c>
      <c r="P12" s="387" t="str">
        <f t="shared" si="4"/>
        <v/>
      </c>
      <c r="Q12" s="390"/>
    </row>
    <row r="13" spans="1:19" ht="15.75">
      <c r="B13" s="391" t="str">
        <f>תקן[[#This Row],[סוג פריט]]</f>
        <v>אביזרים</v>
      </c>
      <c r="C13" s="385" t="str">
        <f>תקן[[#This Row],[מיקום]]</f>
        <v>כללי</v>
      </c>
      <c r="D13" s="385" t="str">
        <f>תקן[[#This Row],[תיאור הפריט]]</f>
        <v>ארגז כלים</v>
      </c>
      <c r="E13" s="385">
        <f>תקן[[#This Row],[כמות]]</f>
        <v>1</v>
      </c>
      <c r="F13" s="385">
        <f>תקן[[#This Row],[עלות פריט]]</f>
        <v>2500</v>
      </c>
      <c r="G13" s="385">
        <f>תקן[[#This Row],[סהכ עלות]]</f>
        <v>2500</v>
      </c>
      <c r="H13" s="386"/>
      <c r="I13" s="245"/>
      <c r="J13" s="385">
        <f t="shared" ref="J13:J27" si="5">I13*F13</f>
        <v>0</v>
      </c>
      <c r="K13" s="387" t="str">
        <f t="shared" ref="K13:K27" si="6">IF(J13=0,"",IF(OR(J13-$G13&gt;0,J13-$G13&lt;0),(J13-$G13)/$G13,""))</f>
        <v/>
      </c>
      <c r="L13" s="246"/>
      <c r="N13" s="389">
        <f t="shared" ref="N13:N27" si="7">I13</f>
        <v>0</v>
      </c>
      <c r="O13" s="385">
        <f t="shared" ref="O13:O27" si="8">N13*F13</f>
        <v>0</v>
      </c>
      <c r="P13" s="387" t="str">
        <f t="shared" ref="P13:P27" si="9">IF(O13=0,"",IF(OR(O13-$G13&gt;0,O13-$G13&lt;0),(O13-$G13)/$G13,""))</f>
        <v/>
      </c>
      <c r="Q13" s="390"/>
    </row>
    <row r="14" spans="1:19" ht="15.75">
      <c r="B14" s="391" t="str">
        <f>תקן[[#This Row],[סוג פריט]]</f>
        <v>אביזרים</v>
      </c>
      <c r="C14" s="385" t="str">
        <f>תקן[[#This Row],[מיקום]]</f>
        <v>כללי</v>
      </c>
      <c r="D14" s="385" t="str">
        <f>תקן[[#This Row],[תיאור הפריט]]</f>
        <v>מזוזות</v>
      </c>
      <c r="E14" s="385">
        <f>תקן[[#This Row],[כמות]]</f>
        <v>6</v>
      </c>
      <c r="F14" s="385">
        <f>תקן[[#This Row],[עלות פריט]]</f>
        <v>250</v>
      </c>
      <c r="G14" s="385">
        <f>תקן[[#This Row],[סהכ עלות]]</f>
        <v>1500</v>
      </c>
      <c r="H14" s="386"/>
      <c r="I14" s="245"/>
      <c r="J14" s="385">
        <f t="shared" si="5"/>
        <v>0</v>
      </c>
      <c r="K14" s="387" t="str">
        <f t="shared" si="6"/>
        <v/>
      </c>
      <c r="L14" s="246"/>
      <c r="N14" s="389">
        <f t="shared" si="7"/>
        <v>0</v>
      </c>
      <c r="O14" s="385">
        <f t="shared" si="8"/>
        <v>0</v>
      </c>
      <c r="P14" s="387" t="str">
        <f t="shared" si="9"/>
        <v/>
      </c>
      <c r="Q14" s="390"/>
    </row>
    <row r="15" spans="1:19" ht="28.5">
      <c r="B15" s="391" t="str">
        <f>תקן[[#This Row],[סוג פריט]]</f>
        <v>אביזרים</v>
      </c>
      <c r="C15" s="385" t="str">
        <f>תקן[[#This Row],[מיקום]]</f>
        <v>כללי</v>
      </c>
      <c r="D15" s="385" t="str">
        <f>תקן[[#This Row],[תיאור הפריט]]</f>
        <v>ערכה לשיפור בטיחות  (מעקות, מאחזי בטיחות, לחצן מצוקה עם צופר, פסים למניעת החלקה ועוד).</v>
      </c>
      <c r="E15" s="385">
        <f>תקן[[#This Row],[כמות]]</f>
        <v>1</v>
      </c>
      <c r="F15" s="385">
        <f>תקן[[#This Row],[עלות פריט]]</f>
        <v>3000</v>
      </c>
      <c r="G15" s="385">
        <f>תקן[[#This Row],[סהכ עלות]]</f>
        <v>3000</v>
      </c>
      <c r="H15" s="386"/>
      <c r="I15" s="245"/>
      <c r="J15" s="385">
        <f t="shared" si="5"/>
        <v>0</v>
      </c>
      <c r="K15" s="387" t="str">
        <f t="shared" si="6"/>
        <v/>
      </c>
      <c r="L15" s="246"/>
      <c r="N15" s="389">
        <f t="shared" si="7"/>
        <v>0</v>
      </c>
      <c r="O15" s="385">
        <f t="shared" si="8"/>
        <v>0</v>
      </c>
      <c r="P15" s="387" t="str">
        <f t="shared" si="9"/>
        <v/>
      </c>
      <c r="Q15" s="390"/>
    </row>
    <row r="16" spans="1:19" ht="15.75">
      <c r="B16" s="391" t="str">
        <f>תקן[[#This Row],[סוג פריט]]</f>
        <v>אביזרים</v>
      </c>
      <c r="C16" s="385" t="str">
        <f>תקן[[#This Row],[מיקום]]</f>
        <v>כללי</v>
      </c>
      <c r="D16" s="385" t="str">
        <f>תקן[[#This Row],[תיאור הפריט]]</f>
        <v>פריטי עיצוב</v>
      </c>
      <c r="E16" s="385">
        <f>תקן[[#This Row],[כמות]]</f>
        <v>1</v>
      </c>
      <c r="F16" s="385">
        <f>תקן[[#This Row],[עלות פריט]]</f>
        <v>2000</v>
      </c>
      <c r="G16" s="385">
        <f>תקן[[#This Row],[סהכ עלות]]</f>
        <v>2000</v>
      </c>
      <c r="H16" s="386"/>
      <c r="I16" s="245"/>
      <c r="J16" s="385">
        <f t="shared" si="5"/>
        <v>0</v>
      </c>
      <c r="K16" s="387" t="str">
        <f t="shared" si="6"/>
        <v/>
      </c>
      <c r="L16" s="246"/>
      <c r="N16" s="389">
        <f t="shared" si="7"/>
        <v>0</v>
      </c>
      <c r="O16" s="385">
        <f t="shared" si="8"/>
        <v>0</v>
      </c>
      <c r="P16" s="387" t="str">
        <f t="shared" si="9"/>
        <v/>
      </c>
      <c r="Q16" s="390"/>
    </row>
    <row r="17" spans="2:17" ht="15.75">
      <c r="B17" s="391" t="str">
        <f>תקן[[#This Row],[סוג פריט]]</f>
        <v>אביזרים</v>
      </c>
      <c r="C17" s="385" t="str">
        <f>תקן[[#This Row],[מיקום]]</f>
        <v>כללי</v>
      </c>
      <c r="D17" s="385" t="str">
        <f>תקן[[#This Row],[תיאור הפריט]]</f>
        <v>שילוט חיצוני</v>
      </c>
      <c r="E17" s="385">
        <f>תקן[[#This Row],[כמות]]</f>
        <v>1</v>
      </c>
      <c r="F17" s="385">
        <f>תקן[[#This Row],[עלות פריט]]</f>
        <v>5000</v>
      </c>
      <c r="G17" s="385">
        <f>תקן[[#This Row],[סהכ עלות]]</f>
        <v>5000</v>
      </c>
      <c r="H17" s="386"/>
      <c r="I17" s="245"/>
      <c r="J17" s="385">
        <f t="shared" si="5"/>
        <v>0</v>
      </c>
      <c r="K17" s="387" t="str">
        <f t="shared" si="6"/>
        <v/>
      </c>
      <c r="L17" s="246"/>
      <c r="N17" s="389">
        <f t="shared" si="7"/>
        <v>0</v>
      </c>
      <c r="O17" s="385">
        <f t="shared" si="8"/>
        <v>0</v>
      </c>
      <c r="P17" s="387" t="str">
        <f t="shared" si="9"/>
        <v/>
      </c>
      <c r="Q17" s="390"/>
    </row>
    <row r="18" spans="2:17" ht="15.75">
      <c r="B18" s="391" t="str">
        <f>תקן[[#This Row],[סוג פריט]]</f>
        <v>אביזרים</v>
      </c>
      <c r="C18" s="385" t="str">
        <f>תקן[[#This Row],[מיקום]]</f>
        <v>כללי</v>
      </c>
      <c r="D18" s="385" t="str">
        <f>תקן[[#This Row],[תיאור הפריט]]</f>
        <v>שילוט לחדרים</v>
      </c>
      <c r="E18" s="385">
        <f>תקן[[#This Row],[כמות]]</f>
        <v>6</v>
      </c>
      <c r="F18" s="385">
        <f>תקן[[#This Row],[עלות פריט]]</f>
        <v>300</v>
      </c>
      <c r="G18" s="385">
        <f>תקן[[#This Row],[סהכ עלות]]</f>
        <v>1800</v>
      </c>
      <c r="H18" s="386"/>
      <c r="I18" s="245"/>
      <c r="J18" s="385">
        <f t="shared" si="5"/>
        <v>0</v>
      </c>
      <c r="K18" s="387" t="str">
        <f t="shared" si="6"/>
        <v/>
      </c>
      <c r="L18" s="246"/>
      <c r="N18" s="389">
        <f t="shared" si="7"/>
        <v>0</v>
      </c>
      <c r="O18" s="385">
        <f t="shared" si="8"/>
        <v>0</v>
      </c>
      <c r="P18" s="387" t="str">
        <f t="shared" si="9"/>
        <v/>
      </c>
      <c r="Q18" s="390"/>
    </row>
    <row r="19" spans="2:17" ht="15.75">
      <c r="B19" s="391" t="str">
        <f>תקן[[#This Row],[סוג פריט]]</f>
        <v>אביזרים</v>
      </c>
      <c r="C19" s="385" t="str">
        <f>תקן[[#This Row],[מיקום]]</f>
        <v>כללי</v>
      </c>
      <c r="D19" s="385" t="str">
        <f>תקן[[#This Row],[תיאור הפריט]]</f>
        <v>שעון נוכחות</v>
      </c>
      <c r="E19" s="385">
        <f>תקן[[#This Row],[כמות]]</f>
        <v>1</v>
      </c>
      <c r="F19" s="385">
        <f>תקן[[#This Row],[עלות פריט]]</f>
        <v>1500</v>
      </c>
      <c r="G19" s="385">
        <f>תקן[[#This Row],[סהכ עלות]]</f>
        <v>1500</v>
      </c>
      <c r="H19" s="386"/>
      <c r="I19" s="245"/>
      <c r="J19" s="385">
        <f t="shared" si="5"/>
        <v>0</v>
      </c>
      <c r="K19" s="387" t="str">
        <f t="shared" si="6"/>
        <v/>
      </c>
      <c r="L19" s="246"/>
      <c r="N19" s="389">
        <f t="shared" si="7"/>
        <v>0</v>
      </c>
      <c r="O19" s="385">
        <f t="shared" si="8"/>
        <v>0</v>
      </c>
      <c r="P19" s="387" t="str">
        <f t="shared" si="9"/>
        <v/>
      </c>
      <c r="Q19" s="390"/>
    </row>
    <row r="20" spans="2:17" ht="28.5">
      <c r="B20" s="391" t="str">
        <f>תקן[[#This Row],[סוג פריט]]</f>
        <v>אביזרים</v>
      </c>
      <c r="C20" s="385" t="str">
        <f>תקן[[#This Row],[מיקום]]</f>
        <v>כללי</v>
      </c>
      <c r="D20" s="385" t="str">
        <f>תקן[[#This Row],[תיאור הפריט]]</f>
        <v>אביזרים (פריטי עיצוב, תמונות, לוחות מודעות, פחים ועוד) תקציב גלובלי</v>
      </c>
      <c r="E20" s="385">
        <f>תקן[[#This Row],[כמות]]</f>
        <v>3</v>
      </c>
      <c r="F20" s="385">
        <f>תקן[[#This Row],[עלות פריט]]</f>
        <v>5000</v>
      </c>
      <c r="G20" s="385">
        <f>תקן[[#This Row],[סהכ עלות]]</f>
        <v>15000</v>
      </c>
      <c r="H20" s="386"/>
      <c r="I20" s="245"/>
      <c r="J20" s="385">
        <f t="shared" si="5"/>
        <v>0</v>
      </c>
      <c r="K20" s="387" t="str">
        <f t="shared" si="6"/>
        <v/>
      </c>
      <c r="L20" s="246"/>
      <c r="N20" s="389">
        <f t="shared" si="7"/>
        <v>0</v>
      </c>
      <c r="O20" s="385">
        <f t="shared" si="8"/>
        <v>0</v>
      </c>
      <c r="P20" s="387" t="str">
        <f t="shared" si="9"/>
        <v/>
      </c>
      <c r="Q20" s="390"/>
    </row>
    <row r="21" spans="2:17" ht="42.75">
      <c r="B21" s="391" t="str">
        <f>תקן[[#This Row],[סוג פריט]]</f>
        <v>אביזרים</v>
      </c>
      <c r="C21" s="385" t="str">
        <f>תקן[[#This Row],[מיקום]]</f>
        <v>שירותים</v>
      </c>
      <c r="D21" s="385" t="str">
        <f>תקן[[#This Row],[תיאור הפריט]]</f>
        <v>סכום גלובלי (ארון איחסון, מראת קיר, כיסא שירותים ורחיצה תקני, ספסל הלבשה, דיספנסרים, מתקני מגבות, ידיות אחיזה ועוד).</v>
      </c>
      <c r="E21" s="385">
        <f>תקן[[#This Row],[כמות]]</f>
        <v>1</v>
      </c>
      <c r="F21" s="385">
        <f>תקן[[#This Row],[עלות פריט]]</f>
        <v>3500</v>
      </c>
      <c r="G21" s="385">
        <f>תקן[[#This Row],[סהכ עלות]]</f>
        <v>3500</v>
      </c>
      <c r="H21" s="386"/>
      <c r="I21" s="245"/>
      <c r="J21" s="385">
        <f t="shared" si="5"/>
        <v>0</v>
      </c>
      <c r="K21" s="387" t="str">
        <f t="shared" si="6"/>
        <v/>
      </c>
      <c r="L21" s="246"/>
      <c r="N21" s="389">
        <f t="shared" si="7"/>
        <v>0</v>
      </c>
      <c r="O21" s="385">
        <f t="shared" si="8"/>
        <v>0</v>
      </c>
      <c r="P21" s="387" t="str">
        <f t="shared" si="9"/>
        <v/>
      </c>
      <c r="Q21" s="390"/>
    </row>
    <row r="22" spans="2:17" ht="85.5">
      <c r="B22" s="391" t="str">
        <f>תקן[[#This Row],[סוג פריט]]</f>
        <v>טיפוח חן</v>
      </c>
      <c r="C22" s="385" t="str">
        <f>תקן[[#This Row],[מיקום]]</f>
        <v>חדר טיפוח חן/מספרה</v>
      </c>
      <c r="D22" s="385" t="str">
        <f>תקן[[#This Row],[תיאור הפריט]]</f>
        <v>סכום גלובלי (ארון תחתון+כיור+ברז, דלפק עבודה, כיסא טיפולים, כיסא מספרה, כיסא פעילות/משרד, כיסא+כיור חפיפה, מייבש שיער מקצועי, מכונת ייבוש, מכונת תספורת, מנורה מתכווננת, מראה, מתלה נייד למגבות, סטרליזטור, עגלת טיפולים).</v>
      </c>
      <c r="E22" s="385">
        <f>תקן[[#This Row],[כמות]]</f>
        <v>2</v>
      </c>
      <c r="F22" s="385">
        <f>תקן[[#This Row],[עלות פריט]]</f>
        <v>4000</v>
      </c>
      <c r="G22" s="385">
        <f>תקן[[#This Row],[סהכ עלות]]</f>
        <v>8000</v>
      </c>
      <c r="H22" s="386"/>
      <c r="I22" s="245"/>
      <c r="J22" s="385">
        <f t="shared" si="5"/>
        <v>0</v>
      </c>
      <c r="K22" s="387" t="str">
        <f t="shared" si="6"/>
        <v/>
      </c>
      <c r="L22" s="246"/>
      <c r="N22" s="389">
        <f t="shared" si="7"/>
        <v>0</v>
      </c>
      <c r="O22" s="385">
        <f t="shared" si="8"/>
        <v>0</v>
      </c>
      <c r="P22" s="387" t="str">
        <f t="shared" si="9"/>
        <v/>
      </c>
      <c r="Q22" s="390"/>
    </row>
    <row r="23" spans="2:17" ht="15.75">
      <c r="B23" s="391" t="str">
        <f>תקן[[#This Row],[סוג פריט]]</f>
        <v>כלי חשמל</v>
      </c>
      <c r="C23" s="385" t="str">
        <f>תקן[[#This Row],[מיקום]]</f>
        <v>חדר אוכל</v>
      </c>
      <c r="D23" s="385" t="str">
        <f>תקן[[#This Row],[תיאור הפריט]]</f>
        <v>מתקן/ בר מים</v>
      </c>
      <c r="E23" s="385">
        <f>תקן[[#This Row],[כמות]]</f>
        <v>1</v>
      </c>
      <c r="F23" s="385">
        <f>תקן[[#This Row],[עלות פריט]]</f>
        <v>4000</v>
      </c>
      <c r="G23" s="385">
        <f>תקן[[#This Row],[סהכ עלות]]</f>
        <v>4000</v>
      </c>
      <c r="H23" s="386"/>
      <c r="I23" s="245"/>
      <c r="J23" s="385">
        <f t="shared" si="5"/>
        <v>0</v>
      </c>
      <c r="K23" s="387" t="str">
        <f t="shared" si="6"/>
        <v/>
      </c>
      <c r="L23" s="246"/>
      <c r="N23" s="389">
        <f t="shared" si="7"/>
        <v>0</v>
      </c>
      <c r="O23" s="385">
        <f t="shared" si="8"/>
        <v>0</v>
      </c>
      <c r="P23" s="387" t="str">
        <f t="shared" si="9"/>
        <v/>
      </c>
      <c r="Q23" s="390"/>
    </row>
    <row r="24" spans="2:17" ht="15.75">
      <c r="B24" s="391" t="str">
        <f>תקן[[#This Row],[סוג פריט]]</f>
        <v>כלי חשמל</v>
      </c>
      <c r="C24" s="385" t="str">
        <f>תקן[[#This Row],[מיקום]]</f>
        <v>חדר ניקיון</v>
      </c>
      <c r="D24" s="385" t="str">
        <f>תקן[[#This Row],[תיאור הפריט]]</f>
        <v>מכונת שטיפה</v>
      </c>
      <c r="E24" s="385">
        <f>תקן[[#This Row],[כמות]]</f>
        <v>2</v>
      </c>
      <c r="F24" s="385">
        <f>תקן[[#This Row],[עלות פריט]]</f>
        <v>9000</v>
      </c>
      <c r="G24" s="385">
        <f>תקן[[#This Row],[סהכ עלות]]</f>
        <v>18000</v>
      </c>
      <c r="H24" s="386"/>
      <c r="I24" s="245"/>
      <c r="J24" s="385">
        <f t="shared" si="5"/>
        <v>0</v>
      </c>
      <c r="K24" s="387" t="str">
        <f t="shared" si="6"/>
        <v/>
      </c>
      <c r="L24" s="246"/>
      <c r="N24" s="389">
        <f t="shared" si="7"/>
        <v>0</v>
      </c>
      <c r="O24" s="385">
        <f t="shared" si="8"/>
        <v>0</v>
      </c>
      <c r="P24" s="387" t="str">
        <f t="shared" si="9"/>
        <v/>
      </c>
      <c r="Q24" s="390"/>
    </row>
    <row r="25" spans="2:17" ht="15.75">
      <c r="B25" s="391" t="str">
        <f>תקן[[#This Row],[סוג פריט]]</f>
        <v>כלי חשמל</v>
      </c>
      <c r="C25" s="385" t="str">
        <f>תקן[[#This Row],[מיקום]]</f>
        <v>כללי</v>
      </c>
      <c r="D25" s="385" t="str">
        <f>תקן[[#This Row],[תיאור הפריט]]</f>
        <v>מתקן בישום אוויר</v>
      </c>
      <c r="E25" s="385">
        <f>תקן[[#This Row],[כמות]]</f>
        <v>6</v>
      </c>
      <c r="F25" s="385">
        <f>תקן[[#This Row],[עלות פריט]]</f>
        <v>900</v>
      </c>
      <c r="G25" s="385">
        <f>תקן[[#This Row],[סהכ עלות]]</f>
        <v>5400</v>
      </c>
      <c r="H25" s="386"/>
      <c r="I25" s="245"/>
      <c r="J25" s="385">
        <f t="shared" si="5"/>
        <v>0</v>
      </c>
      <c r="K25" s="387" t="str">
        <f t="shared" si="6"/>
        <v/>
      </c>
      <c r="L25" s="246"/>
      <c r="N25" s="389">
        <f t="shared" si="7"/>
        <v>0</v>
      </c>
      <c r="O25" s="385">
        <f t="shared" si="8"/>
        <v>0</v>
      </c>
      <c r="P25" s="387" t="str">
        <f t="shared" si="9"/>
        <v/>
      </c>
      <c r="Q25" s="390"/>
    </row>
    <row r="26" spans="2:17" ht="15.75">
      <c r="B26" s="391" t="str">
        <f>תקן[[#This Row],[סוג פריט]]</f>
        <v>כלי חשמל</v>
      </c>
      <c r="C26" s="385" t="str">
        <f>תקן[[#This Row],[מיקום]]</f>
        <v>מבואה</v>
      </c>
      <c r="D26" s="385" t="str">
        <f>תקן[[#This Row],[תיאור הפריט]]</f>
        <v>מתקן/ בר מים</v>
      </c>
      <c r="E26" s="385">
        <f>תקן[[#This Row],[כמות]]</f>
        <v>1</v>
      </c>
      <c r="F26" s="385">
        <f>תקן[[#This Row],[עלות פריט]]</f>
        <v>4000</v>
      </c>
      <c r="G26" s="385">
        <f>תקן[[#This Row],[סהכ עלות]]</f>
        <v>4000</v>
      </c>
      <c r="H26" s="386"/>
      <c r="I26" s="245"/>
      <c r="J26" s="385">
        <f t="shared" si="5"/>
        <v>0</v>
      </c>
      <c r="K26" s="387" t="str">
        <f t="shared" si="6"/>
        <v/>
      </c>
      <c r="L26" s="246"/>
      <c r="N26" s="389">
        <f t="shared" si="7"/>
        <v>0</v>
      </c>
      <c r="O26" s="385">
        <f t="shared" si="8"/>
        <v>0</v>
      </c>
      <c r="P26" s="387" t="str">
        <f t="shared" si="9"/>
        <v/>
      </c>
      <c r="Q26" s="390"/>
    </row>
    <row r="27" spans="2:17" ht="15.75">
      <c r="B27" s="391" t="str">
        <f>תקן[[#This Row],[סוג פריט]]</f>
        <v>כלי חשמל</v>
      </c>
      <c r="C27" s="385" t="str">
        <f>תקן[[#This Row],[מיקום]]</f>
        <v>מטבח</v>
      </c>
      <c r="D27" s="385" t="str">
        <f>תקן[[#This Row],[תיאור הפריט]]</f>
        <v>מדיח כלים תעשייתי</v>
      </c>
      <c r="E27" s="385">
        <f>תקן[[#This Row],[כמות]]</f>
        <v>1</v>
      </c>
      <c r="F27" s="385">
        <f>תקן[[#This Row],[עלות פריט]]</f>
        <v>15000</v>
      </c>
      <c r="G27" s="385">
        <f>תקן[[#This Row],[סהכ עלות]]</f>
        <v>15000</v>
      </c>
      <c r="H27" s="386"/>
      <c r="I27" s="245"/>
      <c r="J27" s="385">
        <f t="shared" si="5"/>
        <v>0</v>
      </c>
      <c r="K27" s="387" t="str">
        <f t="shared" si="6"/>
        <v/>
      </c>
      <c r="L27" s="246"/>
      <c r="N27" s="389">
        <f t="shared" si="7"/>
        <v>0</v>
      </c>
      <c r="O27" s="385">
        <f t="shared" si="8"/>
        <v>0</v>
      </c>
      <c r="P27" s="387" t="str">
        <f t="shared" si="9"/>
        <v/>
      </c>
      <c r="Q27" s="390"/>
    </row>
    <row r="28" spans="2:17" ht="15.75">
      <c r="B28" s="391" t="str">
        <f>תקן[[#This Row],[סוג פריט]]</f>
        <v>כלי חשמל</v>
      </c>
      <c r="C28" s="385" t="str">
        <f>תקן[[#This Row],[מיקום]]</f>
        <v>מטבח</v>
      </c>
      <c r="D28" s="385" t="str">
        <f>תקן[[#This Row],[תיאור הפריט]]</f>
        <v>מיחם מוסדי אוטומטי</v>
      </c>
      <c r="E28" s="385">
        <f>תקן[[#This Row],[כמות]]</f>
        <v>1</v>
      </c>
      <c r="F28" s="385">
        <f>תקן[[#This Row],[עלות פריט]]</f>
        <v>3500</v>
      </c>
      <c r="G28" s="385">
        <f>תקן[[#This Row],[סהכ עלות]]</f>
        <v>3500</v>
      </c>
      <c r="H28" s="386"/>
      <c r="I28" s="245"/>
      <c r="J28" s="385">
        <f t="shared" si="0"/>
        <v>0</v>
      </c>
      <c r="K28" s="387" t="str">
        <f t="shared" si="1"/>
        <v/>
      </c>
      <c r="L28" s="246"/>
      <c r="N28" s="389">
        <f t="shared" si="2"/>
        <v>0</v>
      </c>
      <c r="O28" s="385">
        <f t="shared" si="3"/>
        <v>0</v>
      </c>
      <c r="P28" s="387" t="str">
        <f t="shared" si="4"/>
        <v/>
      </c>
      <c r="Q28" s="390"/>
    </row>
    <row r="29" spans="2:17" ht="15.75">
      <c r="B29" s="391" t="str">
        <f>תקן[[#This Row],[סוג פריט]]</f>
        <v>כלי חשמל</v>
      </c>
      <c r="C29" s="385" t="str">
        <f>תקן[[#This Row],[מיקום]]</f>
        <v>מטבח</v>
      </c>
      <c r="D29" s="385" t="str">
        <f>תקן[[#This Row],[תיאור הפריט]]</f>
        <v>מיקסר מקצועי</v>
      </c>
      <c r="E29" s="385">
        <f>תקן[[#This Row],[כמות]]</f>
        <v>1</v>
      </c>
      <c r="F29" s="385">
        <f>תקן[[#This Row],[עלות פריט]]</f>
        <v>6000</v>
      </c>
      <c r="G29" s="385">
        <f>תקן[[#This Row],[סהכ עלות]]</f>
        <v>6000</v>
      </c>
      <c r="H29" s="386"/>
      <c r="I29" s="245"/>
      <c r="J29" s="385">
        <f t="shared" si="0"/>
        <v>0</v>
      </c>
      <c r="K29" s="387" t="str">
        <f t="shared" si="1"/>
        <v/>
      </c>
      <c r="L29" s="246"/>
      <c r="N29" s="389">
        <f t="shared" si="2"/>
        <v>0</v>
      </c>
      <c r="O29" s="385">
        <f t="shared" si="3"/>
        <v>0</v>
      </c>
      <c r="P29" s="387" t="str">
        <f t="shared" si="4"/>
        <v/>
      </c>
      <c r="Q29" s="390"/>
    </row>
    <row r="30" spans="2:17" ht="15.75">
      <c r="B30" s="391" t="str">
        <f>תקן[[#This Row],[סוג פריט]]</f>
        <v>כלי חשמל</v>
      </c>
      <c r="C30" s="385" t="str">
        <f>תקן[[#This Row],[מיקום]]</f>
        <v>מטבח</v>
      </c>
      <c r="D30" s="385" t="str">
        <f>תקן[[#This Row],[תיאור הפריט]]</f>
        <v>מכונה לקילוף או קיצוץ ירקות</v>
      </c>
      <c r="E30" s="385">
        <f>תקן[[#This Row],[כמות]]</f>
        <v>1</v>
      </c>
      <c r="F30" s="385">
        <f>תקן[[#This Row],[עלות פריט]]</f>
        <v>8000</v>
      </c>
      <c r="G30" s="385">
        <f>תקן[[#This Row],[סהכ עלות]]</f>
        <v>8000</v>
      </c>
      <c r="H30" s="386"/>
      <c r="I30" s="245"/>
      <c r="J30" s="385">
        <f t="shared" si="0"/>
        <v>0</v>
      </c>
      <c r="K30" s="387" t="str">
        <f t="shared" si="1"/>
        <v/>
      </c>
      <c r="L30" s="246"/>
      <c r="N30" s="389">
        <f t="shared" si="2"/>
        <v>0</v>
      </c>
      <c r="O30" s="385">
        <f t="shared" si="3"/>
        <v>0</v>
      </c>
      <c r="P30" s="387" t="str">
        <f t="shared" si="4"/>
        <v/>
      </c>
      <c r="Q30" s="390"/>
    </row>
    <row r="31" spans="2:17" ht="15.75">
      <c r="B31" s="391" t="str">
        <f>תקן[[#This Row],[סוג פריט]]</f>
        <v>כלי חשמל</v>
      </c>
      <c r="C31" s="385" t="str">
        <f>תקן[[#This Row],[מיקום]]</f>
        <v>מטבח</v>
      </c>
      <c r="D31" s="385" t="str">
        <f>תקן[[#This Row],[תיאור הפריט]]</f>
        <v>מנדף</v>
      </c>
      <c r="E31" s="385">
        <f>תקן[[#This Row],[כמות]]</f>
        <v>1</v>
      </c>
      <c r="F31" s="385">
        <f>תקן[[#This Row],[עלות פריט]]</f>
        <v>12000</v>
      </c>
      <c r="G31" s="385">
        <f>תקן[[#This Row],[סהכ עלות]]</f>
        <v>12000</v>
      </c>
      <c r="H31" s="386"/>
      <c r="I31" s="245"/>
      <c r="J31" s="385">
        <f>I31*F31</f>
        <v>0</v>
      </c>
      <c r="K31" s="387" t="str">
        <f>IF(J31=0,"",IF(OR(J31-$G31&gt;0,J31-$G31&lt;0),(J31-$G31)/$G31,""))</f>
        <v/>
      </c>
      <c r="L31" s="246"/>
      <c r="N31" s="389">
        <f>I31</f>
        <v>0</v>
      </c>
      <c r="O31" s="385">
        <f>N31*F31</f>
        <v>0</v>
      </c>
      <c r="P31" s="387" t="str">
        <f>IF(O31=0,"",IF(OR(O31-$G31&gt;0,O31-$G31&lt;0),(O31-$G31)/$G31,""))</f>
        <v/>
      </c>
      <c r="Q31" s="390"/>
    </row>
    <row r="32" spans="2:17" ht="15.75">
      <c r="B32" s="391" t="str">
        <f>תקן[[#This Row],[סוג פריט]]</f>
        <v>כלי חשמל</v>
      </c>
      <c r="C32" s="385" t="str">
        <f>תקן[[#This Row],[מיקום]]</f>
        <v>מטבח</v>
      </c>
      <c r="D32" s="385" t="str">
        <f>תקן[[#This Row],[תיאור הפריט]]</f>
        <v>מעבד מזון מקצועי</v>
      </c>
      <c r="E32" s="385">
        <f>תקן[[#This Row],[כמות]]</f>
        <v>1</v>
      </c>
      <c r="F32" s="385">
        <f>תקן[[#This Row],[עלות פריט]]</f>
        <v>4000</v>
      </c>
      <c r="G32" s="385">
        <f>תקן[[#This Row],[סהכ עלות]]</f>
        <v>4000</v>
      </c>
      <c r="H32" s="386"/>
      <c r="I32" s="245"/>
      <c r="J32" s="385">
        <f>I32*F32</f>
        <v>0</v>
      </c>
      <c r="K32" s="387" t="str">
        <f>IF(J32=0,"",IF(OR(J32-$G32&gt;0,J32-$G32&lt;0),(J32-$G32)/$G32,""))</f>
        <v/>
      </c>
      <c r="L32" s="246"/>
      <c r="N32" s="389">
        <f>I32</f>
        <v>0</v>
      </c>
      <c r="O32" s="385">
        <f>N32*F32</f>
        <v>0</v>
      </c>
      <c r="P32" s="387" t="str">
        <f>IF(O32=0,"",IF(OR(O32-$G32&gt;0,O32-$G32&lt;0),(O32-$G32)/$G32,""))</f>
        <v/>
      </c>
      <c r="Q32" s="390"/>
    </row>
    <row r="33" spans="2:17" ht="15.75">
      <c r="B33" s="391" t="str">
        <f>תקן[[#This Row],[סוג פריט]]</f>
        <v>כלי חשמל</v>
      </c>
      <c r="C33" s="385" t="str">
        <f>תקן[[#This Row],[מיקום]]</f>
        <v>מטבח</v>
      </c>
      <c r="D33" s="385" t="str">
        <f>תקן[[#This Row],[תיאור הפריט]]</f>
        <v xml:space="preserve">מקרר או מקפיא תעשייתי </v>
      </c>
      <c r="E33" s="385">
        <f>תקן[[#This Row],[כמות]]</f>
        <v>2</v>
      </c>
      <c r="F33" s="385">
        <f>תקן[[#This Row],[עלות פריט]]</f>
        <v>12000</v>
      </c>
      <c r="G33" s="385">
        <f>תקן[[#This Row],[סהכ עלות]]</f>
        <v>24000</v>
      </c>
      <c r="H33" s="386"/>
      <c r="I33" s="245"/>
      <c r="J33" s="385">
        <f>I33*F33</f>
        <v>0</v>
      </c>
      <c r="K33" s="387" t="str">
        <f>IF(J33=0,"",IF(OR(J33-$G33&gt;0,J33-$G33&lt;0),(J33-$G33)/$G33,""))</f>
        <v/>
      </c>
      <c r="L33" s="246"/>
      <c r="N33" s="389">
        <f>I33</f>
        <v>0</v>
      </c>
      <c r="O33" s="385">
        <f>N33*F33</f>
        <v>0</v>
      </c>
      <c r="P33" s="387" t="str">
        <f>IF(O33=0,"",IF(OR(O33-$G33&gt;0,O33-$G33&lt;0),(O33-$G33)/$G33,""))</f>
        <v/>
      </c>
      <c r="Q33" s="390"/>
    </row>
    <row r="34" spans="2:17" ht="15.75">
      <c r="B34" s="391" t="str">
        <f>תקן[[#This Row],[סוג פריט]]</f>
        <v>כלי חשמל</v>
      </c>
      <c r="C34" s="385" t="str">
        <f>תקן[[#This Row],[מיקום]]</f>
        <v>מטבח</v>
      </c>
      <c r="D34" s="385" t="str">
        <f>תקן[[#This Row],[תיאור הפריט]]</f>
        <v>קומביסטימר</v>
      </c>
      <c r="E34" s="385">
        <f>תקן[[#This Row],[כמות]]</f>
        <v>1</v>
      </c>
      <c r="F34" s="385">
        <f>תקן[[#This Row],[עלות פריט]]</f>
        <v>20000</v>
      </c>
      <c r="G34" s="385">
        <f>תקן[[#This Row],[סהכ עלות]]</f>
        <v>20000</v>
      </c>
      <c r="H34" s="386"/>
      <c r="I34" s="245"/>
      <c r="J34" s="385">
        <f>I34*F34</f>
        <v>0</v>
      </c>
      <c r="K34" s="387" t="str">
        <f>IF(J34=0,"",IF(OR(J34-$G34&gt;0,J34-$G34&lt;0),(J34-$G34)/$G34,""))</f>
        <v/>
      </c>
      <c r="L34" s="246"/>
      <c r="N34" s="389">
        <f>I34</f>
        <v>0</v>
      </c>
      <c r="O34" s="385">
        <f>N34*F34</f>
        <v>0</v>
      </c>
      <c r="P34" s="387" t="str">
        <f>IF(O34=0,"",IF(OR(O34-$G34&gt;0,O34-$G34&lt;0),(O34-$G34)/$G34,""))</f>
        <v/>
      </c>
      <c r="Q34" s="390"/>
    </row>
    <row r="35" spans="2:17" ht="15.75">
      <c r="B35" s="391" t="str">
        <f>תקן[[#This Row],[סוג פריט]]</f>
        <v>כלי חשמל</v>
      </c>
      <c r="C35" s="385" t="str">
        <f>תקן[[#This Row],[מיקום]]</f>
        <v>מטבח</v>
      </c>
      <c r="D35" s="385" t="str">
        <f>תקן[[#This Row],[תיאור הפריט]]</f>
        <v>תנור בישול ואפייה</v>
      </c>
      <c r="E35" s="385">
        <f>תקן[[#This Row],[כמות]]</f>
        <v>1</v>
      </c>
      <c r="F35" s="385">
        <f>תקן[[#This Row],[עלות פריט]]</f>
        <v>6000</v>
      </c>
      <c r="G35" s="385">
        <f>תקן[[#This Row],[סהכ עלות]]</f>
        <v>6000</v>
      </c>
      <c r="H35" s="386"/>
      <c r="I35" s="245"/>
      <c r="J35" s="385">
        <f t="shared" ref="J35:J36" si="10">I35*F35</f>
        <v>0</v>
      </c>
      <c r="K35" s="387" t="str">
        <f t="shared" ref="K35:K36" si="11">IF(J35=0,"",IF(OR(J35-$G35&gt;0,J35-$G35&lt;0),(J35-$G35)/$G35,""))</f>
        <v/>
      </c>
      <c r="L35" s="246"/>
      <c r="N35" s="389">
        <f t="shared" ref="N35:N36" si="12">I35</f>
        <v>0</v>
      </c>
      <c r="O35" s="385">
        <f t="shared" ref="O35:O36" si="13">N35*F35</f>
        <v>0</v>
      </c>
      <c r="P35" s="387" t="str">
        <f t="shared" ref="P35:P36" si="14">IF(O35=0,"",IF(OR(O35-$G35&gt;0,O35-$G35&lt;0),(O35-$G35)/$G35,""))</f>
        <v/>
      </c>
      <c r="Q35" s="390"/>
    </row>
    <row r="36" spans="2:17" ht="15.75">
      <c r="B36" s="391" t="str">
        <f>תקן[[#This Row],[סוג פריט]]</f>
        <v>כלי חשמל</v>
      </c>
      <c r="C36" s="385" t="str">
        <f>תקן[[#This Row],[מיקום]]</f>
        <v>מטבח</v>
      </c>
      <c r="D36" s="385" t="str">
        <f>תקן[[#This Row],[תיאור הפריט]]</f>
        <v>תנור מיקרוגל</v>
      </c>
      <c r="E36" s="385">
        <f>תקן[[#This Row],[כמות]]</f>
        <v>1</v>
      </c>
      <c r="F36" s="385">
        <f>תקן[[#This Row],[עלות פריט]]</f>
        <v>3000</v>
      </c>
      <c r="G36" s="385">
        <f>תקן[[#This Row],[סהכ עלות]]</f>
        <v>3000</v>
      </c>
      <c r="H36" s="386"/>
      <c r="I36" s="245"/>
      <c r="J36" s="385">
        <f t="shared" si="10"/>
        <v>0</v>
      </c>
      <c r="K36" s="387" t="str">
        <f t="shared" si="11"/>
        <v/>
      </c>
      <c r="L36" s="246"/>
      <c r="N36" s="389">
        <f t="shared" si="12"/>
        <v>0</v>
      </c>
      <c r="O36" s="385">
        <f t="shared" si="13"/>
        <v>0</v>
      </c>
      <c r="P36" s="387" t="str">
        <f t="shared" si="14"/>
        <v/>
      </c>
      <c r="Q36" s="390"/>
    </row>
    <row r="37" spans="2:17" ht="15.75">
      <c r="B37" s="391" t="str">
        <f>תקן[[#This Row],[סוג פריט]]</f>
        <v>כלי חשמל</v>
      </c>
      <c r="C37" s="385" t="str">
        <f>תקן[[#This Row],[מיקום]]</f>
        <v>מכבסה</v>
      </c>
      <c r="D37" s="385" t="str">
        <f>תקן[[#This Row],[תיאור הפריט]]</f>
        <v>מכונת כביסה ומייבש</v>
      </c>
      <c r="E37" s="385">
        <f>תקן[[#This Row],[כמות]]</f>
        <v>1</v>
      </c>
      <c r="F37" s="385">
        <f>תקן[[#This Row],[עלות פריט]]</f>
        <v>10000</v>
      </c>
      <c r="G37" s="385">
        <f>תקן[[#This Row],[סהכ עלות]]</f>
        <v>10000</v>
      </c>
      <c r="H37" s="386"/>
      <c r="I37" s="245"/>
      <c r="J37" s="385">
        <f t="shared" ref="J37:J42" si="15">I37*F37</f>
        <v>0</v>
      </c>
      <c r="K37" s="387" t="str">
        <f t="shared" ref="K37:K42" si="16">IF(J37=0,"",IF(OR(J37-$G37&gt;0,J37-$G37&lt;0),(J37-$G37)/$G37,""))</f>
        <v/>
      </c>
      <c r="L37" s="246"/>
      <c r="N37" s="389">
        <f t="shared" ref="N37:N42" si="17">I37</f>
        <v>0</v>
      </c>
      <c r="O37" s="385">
        <f t="shared" ref="O37:O42" si="18">N37*F37</f>
        <v>0</v>
      </c>
      <c r="P37" s="387" t="str">
        <f t="shared" ref="P37:P42" si="19">IF(O37=0,"",IF(OR(O37-$G37&gt;0,O37-$G37&lt;0),(O37-$G37)/$G37,""))</f>
        <v/>
      </c>
      <c r="Q37" s="390"/>
    </row>
    <row r="38" spans="2:17" ht="15.75">
      <c r="B38" s="391" t="str">
        <f>תקן[[#This Row],[סוג פריט]]</f>
        <v>כללי</v>
      </c>
      <c r="C38" s="385" t="str">
        <f>תקן[[#This Row],[מיקום]]</f>
        <v>כללי</v>
      </c>
      <c r="D38" s="385" t="str">
        <f>תקן[[#This Row],[תיאור הפריט]]</f>
        <v>עיצוב פנים - תקציב למעצב/ת</v>
      </c>
      <c r="E38" s="385">
        <f>תקן[[#This Row],[כמות]]</f>
        <v>1</v>
      </c>
      <c r="F38" s="385">
        <f>תקן[[#This Row],[עלות פריט]]</f>
        <v>25000</v>
      </c>
      <c r="G38" s="385">
        <f>תקן[[#This Row],[סהכ עלות]]</f>
        <v>25000</v>
      </c>
      <c r="H38" s="386"/>
      <c r="I38" s="245"/>
      <c r="J38" s="385">
        <f t="shared" si="15"/>
        <v>0</v>
      </c>
      <c r="K38" s="387" t="str">
        <f t="shared" si="16"/>
        <v/>
      </c>
      <c r="L38" s="246"/>
      <c r="N38" s="389">
        <f t="shared" si="17"/>
        <v>0</v>
      </c>
      <c r="O38" s="385">
        <f t="shared" si="18"/>
        <v>0</v>
      </c>
      <c r="P38" s="387" t="str">
        <f t="shared" si="19"/>
        <v/>
      </c>
      <c r="Q38" s="390"/>
    </row>
    <row r="39" spans="2:17" ht="15.75">
      <c r="B39" s="391" t="str">
        <f>תקן[[#This Row],[סוג פריט]]</f>
        <v>כללי</v>
      </c>
      <c r="C39" s="385" t="str">
        <f>תקן[[#This Row],[מיקום]]</f>
        <v>מטבח</v>
      </c>
      <c r="D39" s="385" t="str">
        <f>תקן[[#This Row],[תיאור הפריט]]</f>
        <v>כלי הגשה ועבודה שונים</v>
      </c>
      <c r="E39" s="385">
        <f>תקן[[#This Row],[כמות]]</f>
        <v>2</v>
      </c>
      <c r="F39" s="385">
        <f>תקן[[#This Row],[עלות פריט]]</f>
        <v>4500</v>
      </c>
      <c r="G39" s="385">
        <f>תקן[[#This Row],[סהכ עלות]]</f>
        <v>9000</v>
      </c>
      <c r="H39" s="386"/>
      <c r="I39" s="245"/>
      <c r="J39" s="385">
        <f t="shared" si="15"/>
        <v>0</v>
      </c>
      <c r="K39" s="387" t="str">
        <f t="shared" si="16"/>
        <v/>
      </c>
      <c r="L39" s="246"/>
      <c r="N39" s="389">
        <f t="shared" si="17"/>
        <v>0</v>
      </c>
      <c r="O39" s="385">
        <f t="shared" si="18"/>
        <v>0</v>
      </c>
      <c r="P39" s="387" t="str">
        <f t="shared" si="19"/>
        <v/>
      </c>
      <c r="Q39" s="390"/>
    </row>
    <row r="40" spans="2:17" ht="15.75">
      <c r="B40" s="391" t="str">
        <f>תקן[[#This Row],[סוג פריט]]</f>
        <v>כללי</v>
      </c>
      <c r="C40" s="385" t="str">
        <f>תקן[[#This Row],[מיקום]]</f>
        <v>מטבח</v>
      </c>
      <c r="D40" s="385" t="str">
        <f>תקן[[#This Row],[תיאור הפריט]]</f>
        <v>מרכך מים מוסדי אוטומטי</v>
      </c>
      <c r="E40" s="385">
        <f>תקן[[#This Row],[כמות]]</f>
        <v>1</v>
      </c>
      <c r="F40" s="385">
        <f>תקן[[#This Row],[עלות פריט]]</f>
        <v>6000</v>
      </c>
      <c r="G40" s="385">
        <f>תקן[[#This Row],[סהכ עלות]]</f>
        <v>6000</v>
      </c>
      <c r="H40" s="386"/>
      <c r="I40" s="245"/>
      <c r="J40" s="385">
        <f t="shared" si="15"/>
        <v>0</v>
      </c>
      <c r="K40" s="387" t="str">
        <f t="shared" si="16"/>
        <v/>
      </c>
      <c r="L40" s="246"/>
      <c r="N40" s="389">
        <f t="shared" si="17"/>
        <v>0</v>
      </c>
      <c r="O40" s="385">
        <f t="shared" si="18"/>
        <v>0</v>
      </c>
      <c r="P40" s="387" t="str">
        <f t="shared" si="19"/>
        <v/>
      </c>
      <c r="Q40" s="390"/>
    </row>
    <row r="41" spans="2:17" ht="15.75">
      <c r="B41" s="391" t="str">
        <f>תקן[[#This Row],[סוג פריט]]</f>
        <v>חדר אוכל</v>
      </c>
      <c r="C41" s="385" t="str">
        <f>תקן[[#This Row],[מיקום]]</f>
        <v>חדר אוכל</v>
      </c>
      <c r="D41" s="385" t="str">
        <f>תקן[[#This Row],[תיאור הפריט]]</f>
        <v>סט כלי אוכל לסועד</v>
      </c>
      <c r="E41" s="385">
        <f>תקן[[#This Row],[כמות]]</f>
        <v>0</v>
      </c>
      <c r="F41" s="385">
        <f>תקן[[#This Row],[עלות פריט]]</f>
        <v>300</v>
      </c>
      <c r="G41" s="385">
        <f>תקן[[#This Row],[סהכ עלות]]</f>
        <v>0</v>
      </c>
      <c r="H41" s="386"/>
      <c r="I41" s="245"/>
      <c r="J41" s="385">
        <f t="shared" si="15"/>
        <v>0</v>
      </c>
      <c r="K41" s="387" t="str">
        <f t="shared" si="16"/>
        <v/>
      </c>
      <c r="L41" s="246"/>
      <c r="N41" s="389">
        <f t="shared" si="17"/>
        <v>0</v>
      </c>
      <c r="O41" s="385">
        <f t="shared" si="18"/>
        <v>0</v>
      </c>
      <c r="P41" s="387" t="str">
        <f t="shared" si="19"/>
        <v/>
      </c>
      <c r="Q41" s="390"/>
    </row>
    <row r="42" spans="2:17" ht="28.5">
      <c r="B42" s="391" t="str">
        <f>תקן[[#This Row],[סוג פריט]]</f>
        <v>חדר אוכל</v>
      </c>
      <c r="C42" s="385" t="str">
        <f>תקן[[#This Row],[מיקום]]</f>
        <v>חדר אוכל</v>
      </c>
      <c r="D42" s="385" t="str">
        <f>תקן[[#This Row],[תיאור הפריט]]</f>
        <v>סט לשולחן אוכל (מפות,מרקיה, סלסלת לחם, סט מלח ועוד) תקציב גלובלי</v>
      </c>
      <c r="E42" s="385">
        <f>תקן[[#This Row],[כמות]]</f>
        <v>0</v>
      </c>
      <c r="F42" s="385">
        <f>תקן[[#This Row],[עלות פריט]]</f>
        <v>400</v>
      </c>
      <c r="G42" s="385">
        <f>תקן[[#This Row],[סהכ עלות]]</f>
        <v>0</v>
      </c>
      <c r="H42" s="386"/>
      <c r="I42" s="245"/>
      <c r="J42" s="385">
        <f t="shared" si="15"/>
        <v>0</v>
      </c>
      <c r="K42" s="387" t="str">
        <f t="shared" si="16"/>
        <v/>
      </c>
      <c r="L42" s="246"/>
      <c r="N42" s="389">
        <f t="shared" si="17"/>
        <v>0</v>
      </c>
      <c r="O42" s="385">
        <f t="shared" si="18"/>
        <v>0</v>
      </c>
      <c r="P42" s="387" t="str">
        <f t="shared" si="19"/>
        <v/>
      </c>
      <c r="Q42" s="390"/>
    </row>
    <row r="43" spans="2:17" ht="15.75">
      <c r="B43" s="391" t="str">
        <f>תקן[[#This Row],[סוג פריט]]</f>
        <v>מיחשוב</v>
      </c>
      <c r="C43" s="385" t="str">
        <f>תקן[[#This Row],[מיקום]]</f>
        <v>חדר מזכירות וקבלה</v>
      </c>
      <c r="D43" s="385" t="str">
        <f>תקן[[#This Row],[תיאור הפריט]]</f>
        <v>מגרסת נייר משרדית + מדפסת משולבת</v>
      </c>
      <c r="E43" s="385">
        <f>תקן[[#This Row],[כמות]]</f>
        <v>1</v>
      </c>
      <c r="F43" s="385">
        <f>תקן[[#This Row],[עלות פריט]]</f>
        <v>2000</v>
      </c>
      <c r="G43" s="385">
        <f>תקן[[#This Row],[סהכ עלות]]</f>
        <v>2000</v>
      </c>
      <c r="H43" s="386"/>
      <c r="I43" s="245"/>
      <c r="J43" s="385">
        <f t="shared" si="0"/>
        <v>0</v>
      </c>
      <c r="K43" s="387" t="str">
        <f t="shared" si="1"/>
        <v/>
      </c>
      <c r="L43" s="246"/>
      <c r="N43" s="389">
        <f t="shared" si="2"/>
        <v>0</v>
      </c>
      <c r="O43" s="385">
        <f t="shared" si="3"/>
        <v>0</v>
      </c>
      <c r="P43" s="387" t="str">
        <f t="shared" si="4"/>
        <v/>
      </c>
      <c r="Q43" s="390"/>
    </row>
    <row r="44" spans="2:17" ht="15.75">
      <c r="B44" s="391" t="str">
        <f>תקן[[#This Row],[סוג פריט]]</f>
        <v>מיחשוב</v>
      </c>
      <c r="C44" s="385" t="str">
        <f>תקן[[#This Row],[מיקום]]</f>
        <v>חדר מזכירות וקבלה</v>
      </c>
      <c r="D44" s="385" t="str">
        <f>תקן[[#This Row],[תיאור הפריט]]</f>
        <v>מחשב קומפלט</v>
      </c>
      <c r="E44" s="385">
        <f>תקן[[#This Row],[כמות]]</f>
        <v>1</v>
      </c>
      <c r="F44" s="385">
        <f>תקן[[#This Row],[עלות פריט]]</f>
        <v>5000</v>
      </c>
      <c r="G44" s="385">
        <f>תקן[[#This Row],[סהכ עלות]]</f>
        <v>5000</v>
      </c>
      <c r="H44" s="386"/>
      <c r="I44" s="245"/>
      <c r="J44" s="385">
        <f t="shared" si="0"/>
        <v>0</v>
      </c>
      <c r="K44" s="387" t="str">
        <f t="shared" si="1"/>
        <v/>
      </c>
      <c r="L44" s="246"/>
      <c r="N44" s="389">
        <f t="shared" si="2"/>
        <v>0</v>
      </c>
      <c r="O44" s="385">
        <f t="shared" si="3"/>
        <v>0</v>
      </c>
      <c r="P44" s="387" t="str">
        <f t="shared" si="4"/>
        <v/>
      </c>
      <c r="Q44" s="390"/>
    </row>
    <row r="45" spans="2:17" ht="15.75">
      <c r="B45" s="391" t="str">
        <f>תקן[[#This Row],[סוג פריט]]</f>
        <v>מיחשוב</v>
      </c>
      <c r="C45" s="385" t="str">
        <f>תקן[[#This Row],[מיקום]]</f>
        <v>חדר מחשבים</v>
      </c>
      <c r="D45" s="385" t="str">
        <f>תקן[[#This Row],[תיאור הפריט]]</f>
        <v>מדפסת משולבת</v>
      </c>
      <c r="E45" s="385">
        <f>תקן[[#This Row],[כמות]]</f>
        <v>1</v>
      </c>
      <c r="F45" s="385">
        <f>תקן[[#This Row],[עלות פריט]]</f>
        <v>1500</v>
      </c>
      <c r="G45" s="385">
        <f>תקן[[#This Row],[סהכ עלות]]</f>
        <v>1500</v>
      </c>
      <c r="H45" s="386"/>
      <c r="I45" s="245"/>
      <c r="J45" s="385">
        <f t="shared" si="0"/>
        <v>0</v>
      </c>
      <c r="K45" s="387" t="str">
        <f t="shared" si="1"/>
        <v/>
      </c>
      <c r="L45" s="246"/>
      <c r="N45" s="389">
        <f t="shared" si="2"/>
        <v>0</v>
      </c>
      <c r="O45" s="385">
        <f t="shared" si="3"/>
        <v>0</v>
      </c>
      <c r="P45" s="387" t="str">
        <f t="shared" si="4"/>
        <v/>
      </c>
      <c r="Q45" s="390"/>
    </row>
    <row r="46" spans="2:17" ht="15.75">
      <c r="B46" s="391" t="str">
        <f>תקן[[#This Row],[סוג פריט]]</f>
        <v>מיחשוב</v>
      </c>
      <c r="C46" s="385" t="str">
        <f>תקן[[#This Row],[מיקום]]</f>
        <v>חדר מחשבים</v>
      </c>
      <c r="D46" s="385" t="str">
        <f>תקן[[#This Row],[תיאור הפריט]]</f>
        <v>מחשב קומפלט</v>
      </c>
      <c r="E46" s="385">
        <f>תקן[[#This Row],[כמות]]</f>
        <v>2</v>
      </c>
      <c r="F46" s="385">
        <f>תקן[[#This Row],[עלות פריט]]</f>
        <v>5000</v>
      </c>
      <c r="G46" s="385">
        <f>תקן[[#This Row],[סהכ עלות]]</f>
        <v>10000</v>
      </c>
      <c r="H46" s="386"/>
      <c r="I46" s="245"/>
      <c r="J46" s="385">
        <f t="shared" si="0"/>
        <v>0</v>
      </c>
      <c r="K46" s="387" t="str">
        <f t="shared" si="1"/>
        <v/>
      </c>
      <c r="L46" s="246"/>
      <c r="N46" s="389">
        <f t="shared" si="2"/>
        <v>0</v>
      </c>
      <c r="O46" s="385">
        <f t="shared" si="3"/>
        <v>0</v>
      </c>
      <c r="P46" s="387" t="str">
        <f t="shared" si="4"/>
        <v/>
      </c>
      <c r="Q46" s="390"/>
    </row>
    <row r="47" spans="2:17" ht="15.75">
      <c r="B47" s="391" t="str">
        <f>תקן[[#This Row],[סוג פריט]]</f>
        <v>מיחשוב</v>
      </c>
      <c r="C47" s="385" t="str">
        <f>תקן[[#This Row],[מיקום]]</f>
        <v>חדר מנהל</v>
      </c>
      <c r="D47" s="385" t="str">
        <f>תקן[[#This Row],[תיאור הפריט]]</f>
        <v>מחשב קומפלט</v>
      </c>
      <c r="E47" s="385">
        <f>תקן[[#This Row],[כמות]]</f>
        <v>1</v>
      </c>
      <c r="F47" s="385">
        <f>תקן[[#This Row],[עלות פריט]]</f>
        <v>5000</v>
      </c>
      <c r="G47" s="385">
        <f>תקן[[#This Row],[סהכ עלות]]</f>
        <v>5000</v>
      </c>
      <c r="H47" s="386"/>
      <c r="I47" s="245"/>
      <c r="J47" s="385">
        <f t="shared" si="0"/>
        <v>0</v>
      </c>
      <c r="K47" s="387" t="str">
        <f t="shared" si="1"/>
        <v/>
      </c>
      <c r="L47" s="246"/>
      <c r="N47" s="389">
        <f t="shared" si="2"/>
        <v>0</v>
      </c>
      <c r="O47" s="385">
        <f t="shared" si="3"/>
        <v>0</v>
      </c>
      <c r="P47" s="387" t="str">
        <f t="shared" si="4"/>
        <v/>
      </c>
      <c r="Q47" s="390"/>
    </row>
    <row r="48" spans="2:17" ht="15.75">
      <c r="B48" s="391" t="str">
        <f>תקן[[#This Row],[סוג פריט]]</f>
        <v>מיחשוב</v>
      </c>
      <c r="C48" s="385" t="str">
        <f>תקן[[#This Row],[מיקום]]</f>
        <v>חדרי צוות/רב תחומי</v>
      </c>
      <c r="D48" s="385" t="str">
        <f>תקן[[#This Row],[תיאור הפריט]]</f>
        <v>מחשב קומפלט</v>
      </c>
      <c r="E48" s="385">
        <f>תקן[[#This Row],[כמות]]</f>
        <v>1</v>
      </c>
      <c r="F48" s="385">
        <f>תקן[[#This Row],[עלות פריט]]</f>
        <v>5000</v>
      </c>
      <c r="G48" s="385">
        <f>תקן[[#This Row],[סהכ עלות]]</f>
        <v>5000</v>
      </c>
      <c r="H48" s="386"/>
      <c r="I48" s="245"/>
      <c r="J48" s="385">
        <f t="shared" si="0"/>
        <v>0</v>
      </c>
      <c r="K48" s="387" t="str">
        <f t="shared" si="1"/>
        <v/>
      </c>
      <c r="L48" s="246"/>
      <c r="N48" s="389">
        <f t="shared" si="2"/>
        <v>0</v>
      </c>
      <c r="O48" s="385">
        <f t="shared" si="3"/>
        <v>0</v>
      </c>
      <c r="P48" s="387" t="str">
        <f t="shared" si="4"/>
        <v/>
      </c>
      <c r="Q48" s="390"/>
    </row>
    <row r="49" spans="2:17" ht="15.75">
      <c r="B49" s="391" t="str">
        <f>תקן[[#This Row],[סוג פריט]]</f>
        <v>ציוד אלקטרוני</v>
      </c>
      <c r="C49" s="385" t="str">
        <f>תקן[[#This Row],[מיקום]]</f>
        <v>כללי</v>
      </c>
      <c r="D49" s="385" t="str">
        <f>תקן[[#This Row],[תיאור הפריט]]</f>
        <v>טלוויזיות (כולל הובלה והתקנה) סכום גלובלי</v>
      </c>
      <c r="E49" s="385">
        <f>תקן[[#This Row],[כמות]]</f>
        <v>2</v>
      </c>
      <c r="F49" s="385">
        <f>תקן[[#This Row],[עלות פריט]]</f>
        <v>5000</v>
      </c>
      <c r="G49" s="385">
        <f>תקן[[#This Row],[סהכ עלות]]</f>
        <v>10000</v>
      </c>
      <c r="H49" s="386"/>
      <c r="I49" s="245"/>
      <c r="J49" s="385">
        <f t="shared" si="0"/>
        <v>0</v>
      </c>
      <c r="K49" s="387" t="str">
        <f t="shared" si="1"/>
        <v/>
      </c>
      <c r="L49" s="246"/>
      <c r="N49" s="389">
        <f t="shared" si="2"/>
        <v>0</v>
      </c>
      <c r="O49" s="385">
        <f t="shared" si="3"/>
        <v>0</v>
      </c>
      <c r="P49" s="387" t="str">
        <f t="shared" si="4"/>
        <v/>
      </c>
      <c r="Q49" s="390"/>
    </row>
    <row r="50" spans="2:17" ht="15.75">
      <c r="B50" s="391" t="str">
        <f>תקן[[#This Row],[סוג פריט]]</f>
        <v>ציוד אלקטרוני</v>
      </c>
      <c r="C50" s="385" t="str">
        <f>תקן[[#This Row],[מיקום]]</f>
        <v>כללי</v>
      </c>
      <c r="D50" s="385" t="str">
        <f>תקן[[#This Row],[תיאור הפריט]]</f>
        <v>דפיברלטור</v>
      </c>
      <c r="E50" s="385">
        <f>תקן[[#This Row],[כמות]]</f>
        <v>1</v>
      </c>
      <c r="F50" s="385">
        <f>תקן[[#This Row],[עלות פריט]]</f>
        <v>5000</v>
      </c>
      <c r="G50" s="385">
        <f>תקן[[#This Row],[סהכ עלות]]</f>
        <v>5000</v>
      </c>
      <c r="H50" s="386"/>
      <c r="I50" s="245"/>
      <c r="J50" s="385">
        <f t="shared" si="0"/>
        <v>0</v>
      </c>
      <c r="K50" s="387" t="str">
        <f t="shared" si="1"/>
        <v/>
      </c>
      <c r="L50" s="246"/>
      <c r="N50" s="389">
        <f t="shared" si="2"/>
        <v>0</v>
      </c>
      <c r="O50" s="385">
        <f t="shared" si="3"/>
        <v>0</v>
      </c>
      <c r="P50" s="387" t="str">
        <f t="shared" si="4"/>
        <v/>
      </c>
      <c r="Q50" s="390"/>
    </row>
    <row r="51" spans="2:17" ht="15.75">
      <c r="B51" s="391" t="str">
        <f>תקן[[#This Row],[סוג פריט]]</f>
        <v>ציוד אלקטרוני</v>
      </c>
      <c r="C51" s="385" t="str">
        <f>תקן[[#This Row],[מיקום]]</f>
        <v>ציוד אלקטרוני</v>
      </c>
      <c r="D51" s="385" t="str">
        <f>תקן[[#This Row],[תיאור הפריט]]</f>
        <v>מגדיל טווח WIFI</v>
      </c>
      <c r="E51" s="385">
        <f>תקן[[#This Row],[כמות]]</f>
        <v>1</v>
      </c>
      <c r="F51" s="385">
        <f>תקן[[#This Row],[עלות פריט]]</f>
        <v>1500</v>
      </c>
      <c r="G51" s="385">
        <f>תקן[[#This Row],[סהכ עלות]]</f>
        <v>1500</v>
      </c>
      <c r="H51" s="386"/>
      <c r="I51" s="245"/>
      <c r="J51" s="385">
        <f t="shared" si="0"/>
        <v>0</v>
      </c>
      <c r="K51" s="387" t="str">
        <f t="shared" si="1"/>
        <v/>
      </c>
      <c r="L51" s="246"/>
      <c r="N51" s="389">
        <f t="shared" si="2"/>
        <v>0</v>
      </c>
      <c r="O51" s="385">
        <f t="shared" si="3"/>
        <v>0</v>
      </c>
      <c r="P51" s="387" t="str">
        <f t="shared" si="4"/>
        <v/>
      </c>
      <c r="Q51" s="390"/>
    </row>
    <row r="52" spans="2:17" ht="15.75">
      <c r="B52" s="391" t="str">
        <f>תקן[[#This Row],[סוג פריט]]</f>
        <v>ציוד אלקטרוני</v>
      </c>
      <c r="C52" s="385" t="str">
        <f>תקן[[#This Row],[מיקום]]</f>
        <v>ציוד אלקטרוני</v>
      </c>
      <c r="D52" s="385" t="str">
        <f>תקן[[#This Row],[תיאור הפריט]]</f>
        <v>מערכת אזעקה ומצלמות</v>
      </c>
      <c r="E52" s="385">
        <f>תקן[[#This Row],[כמות]]</f>
        <v>1</v>
      </c>
      <c r="F52" s="385">
        <f>תקן[[#This Row],[עלות פריט]]</f>
        <v>20000</v>
      </c>
      <c r="G52" s="385">
        <f>תקן[[#This Row],[סהכ עלות]]</f>
        <v>20000</v>
      </c>
      <c r="H52" s="386"/>
      <c r="I52" s="245"/>
      <c r="J52" s="385">
        <f t="shared" si="0"/>
        <v>0</v>
      </c>
      <c r="K52" s="387" t="str">
        <f t="shared" si="1"/>
        <v/>
      </c>
      <c r="L52" s="246"/>
      <c r="N52" s="389">
        <f t="shared" si="2"/>
        <v>0</v>
      </c>
      <c r="O52" s="385">
        <f t="shared" si="3"/>
        <v>0</v>
      </c>
      <c r="P52" s="387" t="str">
        <f t="shared" si="4"/>
        <v/>
      </c>
      <c r="Q52" s="390"/>
    </row>
    <row r="53" spans="2:17" ht="15.75">
      <c r="B53" s="391" t="str">
        <f>תקן[[#This Row],[סוג פריט]]</f>
        <v>ציוד אלקטרוני</v>
      </c>
      <c r="C53" s="385" t="str">
        <f>תקן[[#This Row],[מיקום]]</f>
        <v>ציוד אלקטרוני</v>
      </c>
      <c r="D53" s="385" t="str">
        <f>תקן[[#This Row],[תיאור הפריט]]</f>
        <v>מערכת כריזת חירום</v>
      </c>
      <c r="E53" s="385">
        <f>תקן[[#This Row],[כמות]]</f>
        <v>1</v>
      </c>
      <c r="F53" s="385">
        <f>תקן[[#This Row],[עלות פריט]]</f>
        <v>15000</v>
      </c>
      <c r="G53" s="385">
        <f>תקן[[#This Row],[סהכ עלות]]</f>
        <v>15000</v>
      </c>
      <c r="H53" s="386"/>
      <c r="I53" s="245"/>
      <c r="J53" s="385">
        <f t="shared" si="0"/>
        <v>0</v>
      </c>
      <c r="K53" s="387" t="str">
        <f t="shared" si="1"/>
        <v/>
      </c>
      <c r="L53" s="246"/>
      <c r="N53" s="389">
        <f t="shared" si="2"/>
        <v>0</v>
      </c>
      <c r="O53" s="385">
        <f t="shared" si="3"/>
        <v>0</v>
      </c>
      <c r="P53" s="387" t="str">
        <f t="shared" si="4"/>
        <v/>
      </c>
      <c r="Q53" s="390"/>
    </row>
    <row r="54" spans="2:17" ht="15.75">
      <c r="B54" s="391" t="str">
        <f>תקן[[#This Row],[סוג פריט]]</f>
        <v>ריהוט</v>
      </c>
      <c r="C54" s="385" t="str">
        <f>תקן[[#This Row],[מיקום]]</f>
        <v>חדר אוכל</v>
      </c>
      <c r="D54" s="385" t="str">
        <f>תקן[[#This Row],[תיאור הפריט]]</f>
        <v>כיסא אוכל</v>
      </c>
      <c r="E54" s="385">
        <f>תקן[[#This Row],[כמות]]</f>
        <v>0</v>
      </c>
      <c r="F54" s="385">
        <f>תקן[[#This Row],[עלות פריט]]</f>
        <v>800</v>
      </c>
      <c r="G54" s="385">
        <f>תקן[[#This Row],[סהכ עלות]]</f>
        <v>0</v>
      </c>
      <c r="H54" s="386"/>
      <c r="I54" s="245"/>
      <c r="J54" s="385">
        <f t="shared" si="0"/>
        <v>0</v>
      </c>
      <c r="K54" s="387" t="str">
        <f t="shared" si="1"/>
        <v/>
      </c>
      <c r="L54" s="246"/>
      <c r="N54" s="389">
        <f t="shared" si="2"/>
        <v>0</v>
      </c>
      <c r="O54" s="385">
        <f t="shared" si="3"/>
        <v>0</v>
      </c>
      <c r="P54" s="387" t="str">
        <f t="shared" si="4"/>
        <v/>
      </c>
      <c r="Q54" s="390"/>
    </row>
    <row r="55" spans="2:17" ht="15.75">
      <c r="B55" s="391" t="str">
        <f>תקן[[#This Row],[סוג פריט]]</f>
        <v>ריהוט</v>
      </c>
      <c r="C55" s="385" t="str">
        <f>תקן[[#This Row],[מיקום]]</f>
        <v>חדר אוכל</v>
      </c>
      <c r="D55" s="385" t="str">
        <f>תקן[[#This Row],[תיאור הפריט]]</f>
        <v>שולחן אוכל (4 מקומות)</v>
      </c>
      <c r="E55" s="385">
        <f>תקן[[#This Row],[כמות]]</f>
        <v>0</v>
      </c>
      <c r="F55" s="385">
        <f>תקן[[#This Row],[עלות פריט]]</f>
        <v>3500</v>
      </c>
      <c r="G55" s="385">
        <f>תקן[[#This Row],[סהכ עלות]]</f>
        <v>0</v>
      </c>
      <c r="H55" s="386"/>
      <c r="I55" s="245"/>
      <c r="J55" s="385">
        <f t="shared" si="0"/>
        <v>0</v>
      </c>
      <c r="K55" s="387" t="str">
        <f t="shared" si="1"/>
        <v/>
      </c>
      <c r="L55" s="246"/>
      <c r="N55" s="389">
        <f t="shared" si="2"/>
        <v>0</v>
      </c>
      <c r="O55" s="385">
        <f t="shared" si="3"/>
        <v>0</v>
      </c>
      <c r="P55" s="387" t="str">
        <f t="shared" si="4"/>
        <v/>
      </c>
      <c r="Q55" s="390"/>
    </row>
    <row r="56" spans="2:17" ht="15.75">
      <c r="B56" s="391" t="str">
        <f>תקן[[#This Row],[סוג פריט]]</f>
        <v>ריהוט</v>
      </c>
      <c r="C56" s="385" t="str">
        <f>תקן[[#This Row],[מיקום]]</f>
        <v>חדר מזכירות וקבלה</v>
      </c>
      <c r="D56" s="385" t="str">
        <f>תקן[[#This Row],[תיאור הפריט]]</f>
        <v>ארון איחסון</v>
      </c>
      <c r="E56" s="385">
        <f>תקן[[#This Row],[כמות]]</f>
        <v>1</v>
      </c>
      <c r="F56" s="385">
        <f>תקן[[#This Row],[עלות פריט]]</f>
        <v>4500</v>
      </c>
      <c r="G56" s="385">
        <f>תקן[[#This Row],[סהכ עלות]]</f>
        <v>4500</v>
      </c>
      <c r="H56" s="386"/>
      <c r="I56" s="245"/>
      <c r="J56" s="385">
        <f t="shared" si="0"/>
        <v>0</v>
      </c>
      <c r="K56" s="387" t="str">
        <f t="shared" si="1"/>
        <v/>
      </c>
      <c r="L56" s="246"/>
      <c r="N56" s="389">
        <f t="shared" si="2"/>
        <v>0</v>
      </c>
      <c r="O56" s="385">
        <f t="shared" si="3"/>
        <v>0</v>
      </c>
      <c r="P56" s="387" t="str">
        <f t="shared" si="4"/>
        <v/>
      </c>
      <c r="Q56" s="390"/>
    </row>
    <row r="57" spans="2:17" ht="15.75">
      <c r="B57" s="391" t="str">
        <f>תקן[[#This Row],[סוג פריט]]</f>
        <v>ריהוט</v>
      </c>
      <c r="C57" s="385" t="str">
        <f>תקן[[#This Row],[מיקום]]</f>
        <v>חדר מזכירות וקבלה</v>
      </c>
      <c r="D57" s="385" t="str">
        <f>תקן[[#This Row],[תיאור הפריט]]</f>
        <v>דלפק קבלה</v>
      </c>
      <c r="E57" s="385">
        <f>תקן[[#This Row],[כמות]]</f>
        <v>1</v>
      </c>
      <c r="F57" s="385">
        <f>תקן[[#This Row],[עלות פריט]]</f>
        <v>15000</v>
      </c>
      <c r="G57" s="385">
        <f>תקן[[#This Row],[סהכ עלות]]</f>
        <v>15000</v>
      </c>
      <c r="H57" s="386"/>
      <c r="I57" s="245"/>
      <c r="J57" s="385">
        <f t="shared" si="0"/>
        <v>0</v>
      </c>
      <c r="K57" s="387" t="str">
        <f t="shared" si="1"/>
        <v/>
      </c>
      <c r="L57" s="246"/>
      <c r="N57" s="389">
        <f t="shared" si="2"/>
        <v>0</v>
      </c>
      <c r="O57" s="385">
        <f t="shared" si="3"/>
        <v>0</v>
      </c>
      <c r="P57" s="387" t="str">
        <f t="shared" si="4"/>
        <v/>
      </c>
      <c r="Q57" s="390"/>
    </row>
    <row r="58" spans="2:17" ht="15.75">
      <c r="B58" s="391" t="str">
        <f>תקן[[#This Row],[סוג פריט]]</f>
        <v>ריהוט</v>
      </c>
      <c r="C58" s="385" t="str">
        <f>תקן[[#This Row],[מיקום]]</f>
        <v>חדר מזכירות וקבלה</v>
      </c>
      <c r="D58" s="385" t="str">
        <f>תקן[[#This Row],[תיאור הפריט]]</f>
        <v>כיסא פעילות/משרד</v>
      </c>
      <c r="E58" s="385">
        <f>תקן[[#This Row],[כמות]]</f>
        <v>1</v>
      </c>
      <c r="F58" s="385">
        <f>תקן[[#This Row],[עלות פריט]]</f>
        <v>600</v>
      </c>
      <c r="G58" s="385">
        <f>תקן[[#This Row],[סהכ עלות]]</f>
        <v>600</v>
      </c>
      <c r="H58" s="386"/>
      <c r="I58" s="245"/>
      <c r="J58" s="385">
        <f t="shared" si="0"/>
        <v>0</v>
      </c>
      <c r="K58" s="387" t="str">
        <f t="shared" si="1"/>
        <v/>
      </c>
      <c r="L58" s="246"/>
      <c r="N58" s="389">
        <f t="shared" si="2"/>
        <v>0</v>
      </c>
      <c r="O58" s="385">
        <f t="shared" si="3"/>
        <v>0</v>
      </c>
      <c r="P58" s="387" t="str">
        <f t="shared" si="4"/>
        <v/>
      </c>
      <c r="Q58" s="390"/>
    </row>
    <row r="59" spans="2:17" ht="15.75">
      <c r="B59" s="391" t="str">
        <f>תקן[[#This Row],[סוג פריט]]</f>
        <v>ריהוט</v>
      </c>
      <c r="C59" s="385" t="str">
        <f>תקן[[#This Row],[מיקום]]</f>
        <v>חדר מחשבים</v>
      </c>
      <c r="D59" s="385" t="str">
        <f>תקן[[#This Row],[תיאור הפריט]]</f>
        <v>ארון איחסון</v>
      </c>
      <c r="E59" s="385">
        <f>תקן[[#This Row],[כמות]]</f>
        <v>1</v>
      </c>
      <c r="F59" s="385">
        <f>תקן[[#This Row],[עלות פריט]]</f>
        <v>4500</v>
      </c>
      <c r="G59" s="385">
        <f>תקן[[#This Row],[סהכ עלות]]</f>
        <v>4500</v>
      </c>
      <c r="H59" s="386"/>
      <c r="I59" s="245"/>
      <c r="J59" s="385">
        <f t="shared" si="0"/>
        <v>0</v>
      </c>
      <c r="K59" s="387" t="str">
        <f t="shared" si="1"/>
        <v/>
      </c>
      <c r="L59" s="246"/>
      <c r="N59" s="389">
        <f t="shared" si="2"/>
        <v>0</v>
      </c>
      <c r="O59" s="385">
        <f t="shared" si="3"/>
        <v>0</v>
      </c>
      <c r="P59" s="387" t="str">
        <f t="shared" si="4"/>
        <v/>
      </c>
      <c r="Q59" s="390"/>
    </row>
    <row r="60" spans="2:17" ht="15.75">
      <c r="B60" s="391" t="str">
        <f>תקן[[#This Row],[סוג פריט]]</f>
        <v>ריהוט</v>
      </c>
      <c r="C60" s="385" t="str">
        <f>תקן[[#This Row],[מיקום]]</f>
        <v>חדר מחשבים</v>
      </c>
      <c r="D60" s="385" t="str">
        <f>תקן[[#This Row],[תיאור הפריט]]</f>
        <v>כיסא פעילות/משרד</v>
      </c>
      <c r="E60" s="385">
        <f>תקן[[#This Row],[כמות]]</f>
        <v>3</v>
      </c>
      <c r="F60" s="385">
        <f>תקן[[#This Row],[עלות פריט]]</f>
        <v>600</v>
      </c>
      <c r="G60" s="385">
        <f>תקן[[#This Row],[סהכ עלות]]</f>
        <v>1800</v>
      </c>
      <c r="H60" s="386"/>
      <c r="I60" s="245"/>
      <c r="J60" s="385">
        <f t="shared" si="0"/>
        <v>0</v>
      </c>
      <c r="K60" s="387" t="str">
        <f t="shared" si="1"/>
        <v/>
      </c>
      <c r="L60" s="246"/>
      <c r="N60" s="389">
        <f t="shared" si="2"/>
        <v>0</v>
      </c>
      <c r="O60" s="385">
        <f t="shared" si="3"/>
        <v>0</v>
      </c>
      <c r="P60" s="387" t="str">
        <f t="shared" si="4"/>
        <v/>
      </c>
      <c r="Q60" s="390"/>
    </row>
    <row r="61" spans="2:17" ht="15.75">
      <c r="B61" s="391" t="str">
        <f>תקן[[#This Row],[סוג פריט]]</f>
        <v>ריהוט</v>
      </c>
      <c r="C61" s="385" t="str">
        <f>תקן[[#This Row],[מיקום]]</f>
        <v>חדר מחשבים</v>
      </c>
      <c r="D61" s="385" t="str">
        <f>תקן[[#This Row],[תיאור הפריט]]</f>
        <v>שולחן מחשב</v>
      </c>
      <c r="E61" s="385">
        <f>תקן[[#This Row],[כמות]]</f>
        <v>1</v>
      </c>
      <c r="F61" s="385">
        <f>תקן[[#This Row],[עלות פריט]]</f>
        <v>1200</v>
      </c>
      <c r="G61" s="385">
        <f>תקן[[#This Row],[סהכ עלות]]</f>
        <v>1200</v>
      </c>
      <c r="H61" s="386"/>
      <c r="I61" s="245"/>
      <c r="J61" s="385">
        <f t="shared" si="0"/>
        <v>0</v>
      </c>
      <c r="K61" s="387" t="str">
        <f t="shared" si="1"/>
        <v/>
      </c>
      <c r="L61" s="246"/>
      <c r="N61" s="389">
        <f t="shared" si="2"/>
        <v>0</v>
      </c>
      <c r="O61" s="385">
        <f t="shared" si="3"/>
        <v>0</v>
      </c>
      <c r="P61" s="387" t="str">
        <f t="shared" si="4"/>
        <v/>
      </c>
      <c r="Q61" s="390"/>
    </row>
    <row r="62" spans="2:17" ht="15.75">
      <c r="B62" s="391" t="str">
        <f>תקן[[#This Row],[סוג פריט]]</f>
        <v>ריהוט</v>
      </c>
      <c r="C62" s="385" t="str">
        <f>תקן[[#This Row],[מיקום]]</f>
        <v>חדר מנהל</v>
      </c>
      <c r="D62" s="385" t="str">
        <f>תקן[[#This Row],[תיאור הפריט]]</f>
        <v>ארון איחסון</v>
      </c>
      <c r="E62" s="385">
        <f>תקן[[#This Row],[כמות]]</f>
        <v>1</v>
      </c>
      <c r="F62" s="385">
        <f>תקן[[#This Row],[עלות פריט]]</f>
        <v>4500</v>
      </c>
      <c r="G62" s="385">
        <f>תקן[[#This Row],[סהכ עלות]]</f>
        <v>4500</v>
      </c>
      <c r="H62" s="386"/>
      <c r="I62" s="245"/>
      <c r="J62" s="385">
        <f>I62*F62</f>
        <v>0</v>
      </c>
      <c r="K62" s="387" t="str">
        <f>IF(J62=0,"",IF(OR(J62-$G62&gt;0,J62-$G62&lt;0),(J62-$G62)/$G62,""))</f>
        <v/>
      </c>
      <c r="L62" s="246"/>
      <c r="N62" s="389">
        <f>I62</f>
        <v>0</v>
      </c>
      <c r="O62" s="385">
        <f>N62*F62</f>
        <v>0</v>
      </c>
      <c r="P62" s="387" t="str">
        <f>IF(O62=0,"",IF(OR(O62-$G62&gt;0,O62-$G62&lt;0),(O62-$G62)/$G62,""))</f>
        <v/>
      </c>
      <c r="Q62" s="390"/>
    </row>
    <row r="63" spans="2:17" ht="15.75">
      <c r="B63" s="391" t="str">
        <f>תקן[[#This Row],[סוג פריט]]</f>
        <v>ריהוט</v>
      </c>
      <c r="C63" s="385" t="str">
        <f>תקן[[#This Row],[מיקום]]</f>
        <v>חדר מנהל</v>
      </c>
      <c r="D63" s="385" t="str">
        <f>תקן[[#This Row],[תיאור הפריט]]</f>
        <v>כיסא משרדי מתכוונן</v>
      </c>
      <c r="E63" s="385">
        <f>תקן[[#This Row],[כמות]]</f>
        <v>1</v>
      </c>
      <c r="F63" s="385">
        <f>תקן[[#This Row],[עלות פריט]]</f>
        <v>1000</v>
      </c>
      <c r="G63" s="385">
        <f>תקן[[#This Row],[סהכ עלות]]</f>
        <v>1000</v>
      </c>
      <c r="H63" s="386"/>
      <c r="I63" s="245"/>
      <c r="J63" s="385">
        <f>I63*F63</f>
        <v>0</v>
      </c>
      <c r="K63" s="387" t="str">
        <f>IF(J63=0,"",IF(OR(J63-$G63&gt;0,J63-$G63&lt;0),(J63-$G63)/$G63,""))</f>
        <v/>
      </c>
      <c r="L63" s="246"/>
      <c r="N63" s="389">
        <f>I63</f>
        <v>0</v>
      </c>
      <c r="O63" s="385">
        <f>N63*F63</f>
        <v>0</v>
      </c>
      <c r="P63" s="387" t="str">
        <f>IF(O63=0,"",IF(OR(O63-$G63&gt;0,O63-$G63&lt;0),(O63-$G63)/$G63,""))</f>
        <v/>
      </c>
      <c r="Q63" s="390"/>
    </row>
    <row r="64" spans="2:17" ht="15.75">
      <c r="B64" s="391" t="str">
        <f>תקן[[#This Row],[סוג פריט]]</f>
        <v>ריהוט</v>
      </c>
      <c r="C64" s="385" t="str">
        <f>תקן[[#This Row],[מיקום]]</f>
        <v>חדר מנהל</v>
      </c>
      <c r="D64" s="385" t="str">
        <f>תקן[[#This Row],[תיאור הפריט]]</f>
        <v>כיסא פעילות/משרד</v>
      </c>
      <c r="E64" s="385">
        <f>תקן[[#This Row],[כמות]]</f>
        <v>1</v>
      </c>
      <c r="F64" s="385">
        <f>תקן[[#This Row],[עלות פריט]]</f>
        <v>600</v>
      </c>
      <c r="G64" s="385">
        <f>תקן[[#This Row],[סהכ עלות]]</f>
        <v>600</v>
      </c>
      <c r="H64" s="386"/>
      <c r="I64" s="245"/>
      <c r="J64" s="385">
        <f>I64*F64</f>
        <v>0</v>
      </c>
      <c r="K64" s="387" t="str">
        <f>IF(J64=0,"",IF(OR(J64-$G64&gt;0,J64-$G64&lt;0),(J64-$G64)/$G64,""))</f>
        <v/>
      </c>
      <c r="L64" s="246"/>
      <c r="N64" s="389">
        <f>I64</f>
        <v>0</v>
      </c>
      <c r="O64" s="385">
        <f>N64*F64</f>
        <v>0</v>
      </c>
      <c r="P64" s="387" t="str">
        <f>IF(O64=0,"",IF(OR(O64-$G64&gt;0,O64-$G64&lt;0),(O64-$G64)/$G64,""))</f>
        <v/>
      </c>
      <c r="Q64" s="390"/>
    </row>
    <row r="65" spans="2:17" ht="15.75">
      <c r="B65" s="391" t="str">
        <f>תקן[[#This Row],[סוג פריט]]</f>
        <v>ריהוט</v>
      </c>
      <c r="C65" s="385" t="str">
        <f>תקן[[#This Row],[מיקום]]</f>
        <v>חדר מנהל</v>
      </c>
      <c r="D65" s="385" t="str">
        <f>תקן[[#This Row],[תיאור הפריט]]</f>
        <v>שולחן משרדי</v>
      </c>
      <c r="E65" s="385">
        <f>תקן[[#This Row],[כמות]]</f>
        <v>1</v>
      </c>
      <c r="F65" s="385">
        <f>תקן[[#This Row],[עלות פריט]]</f>
        <v>2500</v>
      </c>
      <c r="G65" s="385">
        <f>תקן[[#This Row],[סהכ עלות]]</f>
        <v>2500</v>
      </c>
      <c r="H65" s="386"/>
      <c r="I65" s="245"/>
      <c r="J65" s="385">
        <f>I65*F65</f>
        <v>0</v>
      </c>
      <c r="K65" s="387" t="str">
        <f>IF(J65=0,"",IF(OR(J65-$G65&gt;0,J65-$G65&lt;0),(J65-$G65)/$G65,""))</f>
        <v/>
      </c>
      <c r="L65" s="246"/>
      <c r="N65" s="389">
        <f>I65</f>
        <v>0</v>
      </c>
      <c r="O65" s="385">
        <f>N65*F65</f>
        <v>0</v>
      </c>
      <c r="P65" s="387" t="str">
        <f>IF(O65=0,"",IF(OR(O65-$G65&gt;0,O65-$G65&lt;0),(O65-$G65)/$G65,""))</f>
        <v/>
      </c>
      <c r="Q65" s="390"/>
    </row>
    <row r="66" spans="2:17" ht="15.75">
      <c r="B66" s="391" t="str">
        <f>תקן[[#This Row],[סוג פריט]]</f>
        <v>ריהוט</v>
      </c>
      <c r="C66" s="385" t="str">
        <f>תקן[[#This Row],[מיקום]]</f>
        <v>חדר מנוחה</v>
      </c>
      <c r="D66" s="385" t="str">
        <f>תקן[[#This Row],[תיאור הפריט]]</f>
        <v>כורסת מנוחה</v>
      </c>
      <c r="E66" s="385">
        <f>תקן[[#This Row],[כמות]]</f>
        <v>1</v>
      </c>
      <c r="F66" s="385">
        <f>תקן[[#This Row],[עלות פריט]]</f>
        <v>3500</v>
      </c>
      <c r="G66" s="385">
        <f>תקן[[#This Row],[סהכ עלות]]</f>
        <v>3500</v>
      </c>
      <c r="H66" s="386"/>
      <c r="I66" s="245"/>
      <c r="J66" s="385">
        <f t="shared" ref="J66:J73" si="20">I66*F66</f>
        <v>0</v>
      </c>
      <c r="K66" s="387" t="str">
        <f t="shared" ref="K66:K73" si="21">IF(J66=0,"",IF(OR(J66-$G66&gt;0,J66-$G66&lt;0),(J66-$G66)/$G66,""))</f>
        <v/>
      </c>
      <c r="L66" s="246"/>
      <c r="N66" s="389">
        <f t="shared" ref="N66:N73" si="22">I66</f>
        <v>0</v>
      </c>
      <c r="O66" s="385">
        <f t="shared" ref="O66:O73" si="23">N66*F66</f>
        <v>0</v>
      </c>
      <c r="P66" s="387" t="str">
        <f t="shared" ref="P66:P73" si="24">IF(O66=0,"",IF(OR(O66-$G66&gt;0,O66-$G66&lt;0),(O66-$G66)/$G66,""))</f>
        <v/>
      </c>
      <c r="Q66" s="390"/>
    </row>
    <row r="67" spans="2:17" ht="15.75">
      <c r="B67" s="391" t="str">
        <f>תקן[[#This Row],[סוג פריט]]</f>
        <v>ריהוט</v>
      </c>
      <c r="C67" s="385" t="str">
        <f>תקן[[#This Row],[מיקום]]</f>
        <v>חדר מנוחה</v>
      </c>
      <c r="D67" s="385" t="str">
        <f>תקן[[#This Row],[תיאור הפריט]]</f>
        <v>כורסת מנוחה חשמלית</v>
      </c>
      <c r="E67" s="385">
        <f>תקן[[#This Row],[כמות]]</f>
        <v>1</v>
      </c>
      <c r="F67" s="385">
        <f>תקן[[#This Row],[עלות פריט]]</f>
        <v>5000</v>
      </c>
      <c r="G67" s="385">
        <f>תקן[[#This Row],[סהכ עלות]]</f>
        <v>5000</v>
      </c>
      <c r="H67" s="386"/>
      <c r="I67" s="245"/>
      <c r="J67" s="385">
        <f t="shared" si="20"/>
        <v>0</v>
      </c>
      <c r="K67" s="387" t="str">
        <f t="shared" si="21"/>
        <v/>
      </c>
      <c r="L67" s="246"/>
      <c r="N67" s="389">
        <f t="shared" si="22"/>
        <v>0</v>
      </c>
      <c r="O67" s="385">
        <f t="shared" si="23"/>
        <v>0</v>
      </c>
      <c r="P67" s="387" t="str">
        <f t="shared" si="24"/>
        <v/>
      </c>
      <c r="Q67" s="390"/>
    </row>
    <row r="68" spans="2:17" ht="15.75">
      <c r="B68" s="391" t="str">
        <f>תקן[[#This Row],[סוג פריט]]</f>
        <v>ריהוט</v>
      </c>
      <c r="C68" s="385" t="str">
        <f>תקן[[#This Row],[מיקום]]</f>
        <v>חדר מנוחה</v>
      </c>
      <c r="D68" s="385" t="str">
        <f>תקן[[#This Row],[תיאור הפריט]]</f>
        <v>מיטה + מזרון</v>
      </c>
      <c r="E68" s="385">
        <f>תקן[[#This Row],[כמות]]</f>
        <v>2</v>
      </c>
      <c r="F68" s="385">
        <f>תקן[[#This Row],[עלות פריט]]</f>
        <v>2000</v>
      </c>
      <c r="G68" s="385">
        <f>תקן[[#This Row],[סהכ עלות]]</f>
        <v>4000</v>
      </c>
      <c r="H68" s="386"/>
      <c r="I68" s="245"/>
      <c r="J68" s="385">
        <f t="shared" si="20"/>
        <v>0</v>
      </c>
      <c r="K68" s="387" t="str">
        <f t="shared" si="21"/>
        <v/>
      </c>
      <c r="L68" s="246"/>
      <c r="N68" s="389">
        <f t="shared" si="22"/>
        <v>0</v>
      </c>
      <c r="O68" s="385">
        <f t="shared" si="23"/>
        <v>0</v>
      </c>
      <c r="P68" s="387" t="str">
        <f t="shared" si="24"/>
        <v/>
      </c>
      <c r="Q68" s="390"/>
    </row>
    <row r="69" spans="2:17" ht="15.75">
      <c r="B69" s="391" t="str">
        <f>תקן[[#This Row],[סוג פריט]]</f>
        <v>ריהוט</v>
      </c>
      <c r="C69" s="385" t="str">
        <f>תקן[[#This Row],[מיקום]]</f>
        <v>חדר ניקיון</v>
      </c>
      <c r="D69" s="385" t="str">
        <f>תקן[[#This Row],[תיאור הפריט]]</f>
        <v>ארון איחסון מפלסטיק</v>
      </c>
      <c r="E69" s="385">
        <f>תקן[[#This Row],[כמות]]</f>
        <v>1</v>
      </c>
      <c r="F69" s="385">
        <f>תקן[[#This Row],[עלות פריט]]</f>
        <v>1500</v>
      </c>
      <c r="G69" s="385">
        <f>תקן[[#This Row],[סהכ עלות]]</f>
        <v>1500</v>
      </c>
      <c r="H69" s="386"/>
      <c r="I69" s="245"/>
      <c r="J69" s="385">
        <f t="shared" si="20"/>
        <v>0</v>
      </c>
      <c r="K69" s="387" t="str">
        <f t="shared" si="21"/>
        <v/>
      </c>
      <c r="L69" s="246"/>
      <c r="N69" s="389">
        <f t="shared" si="22"/>
        <v>0</v>
      </c>
      <c r="O69" s="385">
        <f t="shared" si="23"/>
        <v>0</v>
      </c>
      <c r="P69" s="387" t="str">
        <f t="shared" si="24"/>
        <v/>
      </c>
      <c r="Q69" s="390"/>
    </row>
    <row r="70" spans="2:17" ht="15.75">
      <c r="B70" s="391" t="str">
        <f>תקן[[#This Row],[סוג פריט]]</f>
        <v>ריהוט</v>
      </c>
      <c r="C70" s="385" t="str">
        <f>תקן[[#This Row],[מיקום]]</f>
        <v>חדרי פעילות/תעסוקה</v>
      </c>
      <c r="D70" s="385" t="str">
        <f>תקן[[#This Row],[תיאור הפריט]]</f>
        <v>ארון איחסון</v>
      </c>
      <c r="E70" s="385">
        <f>תקן[[#This Row],[כמות]]</f>
        <v>1</v>
      </c>
      <c r="F70" s="385">
        <f>תקן[[#This Row],[עלות פריט]]</f>
        <v>4500</v>
      </c>
      <c r="G70" s="385">
        <f>תקן[[#This Row],[סהכ עלות]]</f>
        <v>4500</v>
      </c>
      <c r="H70" s="386"/>
      <c r="I70" s="245"/>
      <c r="J70" s="385">
        <f t="shared" si="20"/>
        <v>0</v>
      </c>
      <c r="K70" s="387" t="str">
        <f t="shared" si="21"/>
        <v/>
      </c>
      <c r="L70" s="246"/>
      <c r="N70" s="389">
        <f t="shared" si="22"/>
        <v>0</v>
      </c>
      <c r="O70" s="385">
        <f t="shared" si="23"/>
        <v>0</v>
      </c>
      <c r="P70" s="387" t="str">
        <f t="shared" si="24"/>
        <v/>
      </c>
      <c r="Q70" s="390"/>
    </row>
    <row r="71" spans="2:17" ht="15.75">
      <c r="B71" s="391" t="str">
        <f>תקן[[#This Row],[סוג פריט]]</f>
        <v>ריהוט</v>
      </c>
      <c r="C71" s="385" t="str">
        <f>תקן[[#This Row],[מיקום]]</f>
        <v>חדרי פעילות/תעסוקה</v>
      </c>
      <c r="D71" s="385" t="str">
        <f>תקן[[#This Row],[תיאור הפריט]]</f>
        <v>ארון תחתון+כיור+ברז+משטח</v>
      </c>
      <c r="E71" s="385">
        <f>תקן[[#This Row],[כמות]]</f>
        <v>1</v>
      </c>
      <c r="F71" s="385">
        <f>תקן[[#This Row],[עלות פריט]]</f>
        <v>2500</v>
      </c>
      <c r="G71" s="385">
        <f>תקן[[#This Row],[סהכ עלות]]</f>
        <v>2500</v>
      </c>
      <c r="H71" s="386"/>
      <c r="I71" s="245"/>
      <c r="J71" s="385">
        <f>I71*F71</f>
        <v>0</v>
      </c>
      <c r="K71" s="387" t="str">
        <f>IF(J71=0,"",IF(OR(J71-$G71&gt;0,J71-$G71&lt;0),(J71-$G71)/$G71,""))</f>
        <v/>
      </c>
      <c r="L71" s="246"/>
      <c r="N71" s="389">
        <f>I71</f>
        <v>0</v>
      </c>
      <c r="O71" s="385">
        <f>N71*F71</f>
        <v>0</v>
      </c>
      <c r="P71" s="387" t="str">
        <f>IF(O71=0,"",IF(OR(O71-$G71&gt;0,O71-$G71&lt;0),(O71-$G71)/$G71,""))</f>
        <v/>
      </c>
      <c r="Q71" s="390"/>
    </row>
    <row r="72" spans="2:17" ht="15.75">
      <c r="B72" s="391" t="str">
        <f>תקן[[#This Row],[סוג פריט]]</f>
        <v>ריהוט</v>
      </c>
      <c r="C72" s="385" t="str">
        <f>תקן[[#This Row],[מיקום]]</f>
        <v>חדרי פעילות/תעסוקה</v>
      </c>
      <c r="D72" s="385" t="str">
        <f>תקן[[#This Row],[תיאור הפריט]]</f>
        <v>ארון תצוגה</v>
      </c>
      <c r="E72" s="385">
        <f>תקן[[#This Row],[כמות]]</f>
        <v>1</v>
      </c>
      <c r="F72" s="385">
        <f>תקן[[#This Row],[עלות פריט]]</f>
        <v>6500</v>
      </c>
      <c r="G72" s="385">
        <f>תקן[[#This Row],[סהכ עלות]]</f>
        <v>6500</v>
      </c>
      <c r="H72" s="386"/>
      <c r="I72" s="245"/>
      <c r="J72" s="385">
        <f t="shared" si="20"/>
        <v>0</v>
      </c>
      <c r="K72" s="387" t="str">
        <f t="shared" si="21"/>
        <v/>
      </c>
      <c r="L72" s="246"/>
      <c r="N72" s="389">
        <f t="shared" si="22"/>
        <v>0</v>
      </c>
      <c r="O72" s="385">
        <f t="shared" si="23"/>
        <v>0</v>
      </c>
      <c r="P72" s="387" t="str">
        <f t="shared" si="24"/>
        <v/>
      </c>
      <c r="Q72" s="390"/>
    </row>
    <row r="73" spans="2:17" ht="15.75">
      <c r="B73" s="391" t="str">
        <f>תקן[[#This Row],[סוג פריט]]</f>
        <v>ריהוט</v>
      </c>
      <c r="C73" s="385" t="str">
        <f>תקן[[#This Row],[מיקום]]</f>
        <v>חדרי פעילות/תעסוקה</v>
      </c>
      <c r="D73" s="385" t="str">
        <f>תקן[[#This Row],[תיאור הפריט]]</f>
        <v>כיסא פעילות/משרד</v>
      </c>
      <c r="E73" s="385">
        <f>תקן[[#This Row],[כמות]]</f>
        <v>0</v>
      </c>
      <c r="F73" s="385">
        <f>תקן[[#This Row],[עלות פריט]]</f>
        <v>600</v>
      </c>
      <c r="G73" s="385">
        <f>תקן[[#This Row],[סהכ עלות]]</f>
        <v>0</v>
      </c>
      <c r="H73" s="386"/>
      <c r="I73" s="245"/>
      <c r="J73" s="385">
        <f t="shared" si="20"/>
        <v>0</v>
      </c>
      <c r="K73" s="387" t="str">
        <f t="shared" si="21"/>
        <v/>
      </c>
      <c r="L73" s="246"/>
      <c r="N73" s="389">
        <f t="shared" si="22"/>
        <v>0</v>
      </c>
      <c r="O73" s="385">
        <f t="shared" si="23"/>
        <v>0</v>
      </c>
      <c r="P73" s="387" t="str">
        <f t="shared" si="24"/>
        <v/>
      </c>
      <c r="Q73" s="390"/>
    </row>
    <row r="74" spans="2:17" ht="15.75">
      <c r="B74" s="391" t="str">
        <f>תקן[[#This Row],[סוג פריט]]</f>
        <v>ריהוט</v>
      </c>
      <c r="C74" s="385" t="str">
        <f>תקן[[#This Row],[מיקום]]</f>
        <v>חדרי פעילות/תעסוקה</v>
      </c>
      <c r="D74" s="385" t="str">
        <f>תקן[[#This Row],[תיאור הפריט]]</f>
        <v>שולחן פעילות 6 מקומות</v>
      </c>
      <c r="E74" s="385">
        <f>תקן[[#This Row],[כמות]]</f>
        <v>0</v>
      </c>
      <c r="F74" s="385">
        <f>תקן[[#This Row],[עלות פריט]]</f>
        <v>3500</v>
      </c>
      <c r="G74" s="385">
        <f>תקן[[#This Row],[סהכ עלות]]</f>
        <v>0</v>
      </c>
      <c r="H74" s="386"/>
      <c r="I74" s="245"/>
      <c r="J74" s="385">
        <f t="shared" ref="J74:J80" si="25">I74*F74</f>
        <v>0</v>
      </c>
      <c r="K74" s="387" t="str">
        <f t="shared" ref="K74:K80" si="26">IF(J74=0,"",IF(OR(J74-$G74&gt;0,J74-$G74&lt;0),(J74-$G74)/$G74,""))</f>
        <v/>
      </c>
      <c r="L74" s="246"/>
      <c r="N74" s="389">
        <f t="shared" ref="N74:N80" si="27">I74</f>
        <v>0</v>
      </c>
      <c r="O74" s="385">
        <f t="shared" ref="O74:O80" si="28">N74*F74</f>
        <v>0</v>
      </c>
      <c r="P74" s="387" t="str">
        <f t="shared" ref="P74:P80" si="29">IF(O74=0,"",IF(OR(O74-$G74&gt;0,O74-$G74&lt;0),(O74-$G74)/$G74,""))</f>
        <v/>
      </c>
      <c r="Q74" s="390"/>
    </row>
    <row r="75" spans="2:17" ht="15.75">
      <c r="B75" s="391" t="str">
        <f>תקן[[#This Row],[סוג פריט]]</f>
        <v>ריהוט</v>
      </c>
      <c r="C75" s="385" t="str">
        <f>תקן[[#This Row],[מיקום]]</f>
        <v>חדרי צוות/רב תחומי</v>
      </c>
      <c r="D75" s="385" t="str">
        <f>תקן[[#This Row],[תיאור הפריט]]</f>
        <v>ארון איחסון</v>
      </c>
      <c r="E75" s="385">
        <f>תקן[[#This Row],[כמות]]</f>
        <v>1</v>
      </c>
      <c r="F75" s="385">
        <f>תקן[[#This Row],[עלות פריט]]</f>
        <v>4500</v>
      </c>
      <c r="G75" s="385">
        <f>תקן[[#This Row],[סהכ עלות]]</f>
        <v>4500</v>
      </c>
      <c r="H75" s="386"/>
      <c r="I75" s="245"/>
      <c r="J75" s="385">
        <f t="shared" si="25"/>
        <v>0</v>
      </c>
      <c r="K75" s="387" t="str">
        <f t="shared" si="26"/>
        <v/>
      </c>
      <c r="L75" s="246"/>
      <c r="N75" s="389">
        <f t="shared" si="27"/>
        <v>0</v>
      </c>
      <c r="O75" s="385">
        <f t="shared" si="28"/>
        <v>0</v>
      </c>
      <c r="P75" s="387" t="str">
        <f t="shared" si="29"/>
        <v/>
      </c>
      <c r="Q75" s="390"/>
    </row>
    <row r="76" spans="2:17" ht="15.75">
      <c r="B76" s="391" t="str">
        <f>תקן[[#This Row],[סוג פריט]]</f>
        <v>ריהוט</v>
      </c>
      <c r="C76" s="385" t="str">
        <f>תקן[[#This Row],[מיקום]]</f>
        <v>חדרי צוות/רב תחומי</v>
      </c>
      <c r="D76" s="385" t="str">
        <f>תקן[[#This Row],[תיאור הפריט]]</f>
        <v>ארון תחתון+כיור+ברז+משטח</v>
      </c>
      <c r="E76" s="385">
        <f>תקן[[#This Row],[כמות]]</f>
        <v>1</v>
      </c>
      <c r="F76" s="385">
        <f>תקן[[#This Row],[עלות פריט]]</f>
        <v>2500</v>
      </c>
      <c r="G76" s="385">
        <f>תקן[[#This Row],[סהכ עלות]]</f>
        <v>2500</v>
      </c>
      <c r="H76" s="386"/>
      <c r="I76" s="245"/>
      <c r="J76" s="385">
        <f t="shared" si="25"/>
        <v>0</v>
      </c>
      <c r="K76" s="387" t="str">
        <f t="shared" si="26"/>
        <v/>
      </c>
      <c r="L76" s="246"/>
      <c r="N76" s="389">
        <f t="shared" si="27"/>
        <v>0</v>
      </c>
      <c r="O76" s="385">
        <f t="shared" si="28"/>
        <v>0</v>
      </c>
      <c r="P76" s="387" t="str">
        <f t="shared" si="29"/>
        <v/>
      </c>
      <c r="Q76" s="390"/>
    </row>
    <row r="77" spans="2:17" ht="15.75">
      <c r="B77" s="391" t="str">
        <f>תקן[[#This Row],[סוג פריט]]</f>
        <v>ריהוט</v>
      </c>
      <c r="C77" s="385" t="str">
        <f>תקן[[#This Row],[מיקום]]</f>
        <v>חדרי צוות/רב תחומי</v>
      </c>
      <c r="D77" s="385" t="str">
        <f>תקן[[#This Row],[תיאור הפריט]]</f>
        <v>מיטה חשמלית</v>
      </c>
      <c r="E77" s="385">
        <f>תקן[[#This Row],[כמות]]</f>
        <v>1</v>
      </c>
      <c r="F77" s="385">
        <f>תקן[[#This Row],[עלות פריט]]</f>
        <v>6000</v>
      </c>
      <c r="G77" s="385">
        <f>תקן[[#This Row],[סהכ עלות]]</f>
        <v>6000</v>
      </c>
      <c r="H77" s="386"/>
      <c r="I77" s="245"/>
      <c r="J77" s="385">
        <f t="shared" si="25"/>
        <v>0</v>
      </c>
      <c r="K77" s="387" t="str">
        <f t="shared" si="26"/>
        <v/>
      </c>
      <c r="L77" s="246"/>
      <c r="N77" s="389">
        <f t="shared" si="27"/>
        <v>0</v>
      </c>
      <c r="O77" s="385">
        <f t="shared" si="28"/>
        <v>0</v>
      </c>
      <c r="P77" s="387" t="str">
        <f t="shared" si="29"/>
        <v/>
      </c>
      <c r="Q77" s="390"/>
    </row>
    <row r="78" spans="2:17" ht="15.75">
      <c r="B78" s="391" t="str">
        <f>תקן[[#This Row],[סוג פריט]]</f>
        <v>ריהוט</v>
      </c>
      <c r="C78" s="385" t="str">
        <f>תקן[[#This Row],[מיקום]]</f>
        <v>חדרי צוות/רב תחומי</v>
      </c>
      <c r="D78" s="385" t="str">
        <f>תקן[[#This Row],[תיאור הפריט]]</f>
        <v>פרגוד אחות 3 כנפיים</v>
      </c>
      <c r="E78" s="385">
        <f>תקן[[#This Row],[כמות]]</f>
        <v>1</v>
      </c>
      <c r="F78" s="385">
        <f>תקן[[#This Row],[עלות פריט]]</f>
        <v>1000</v>
      </c>
      <c r="G78" s="385">
        <f>תקן[[#This Row],[סהכ עלות]]</f>
        <v>1000</v>
      </c>
      <c r="H78" s="386"/>
      <c r="I78" s="245"/>
      <c r="J78" s="385">
        <f t="shared" si="25"/>
        <v>0</v>
      </c>
      <c r="K78" s="387" t="str">
        <f t="shared" si="26"/>
        <v/>
      </c>
      <c r="L78" s="246"/>
      <c r="N78" s="389">
        <f t="shared" si="27"/>
        <v>0</v>
      </c>
      <c r="O78" s="385">
        <f t="shared" si="28"/>
        <v>0</v>
      </c>
      <c r="P78" s="387" t="str">
        <f t="shared" si="29"/>
        <v/>
      </c>
      <c r="Q78" s="390"/>
    </row>
    <row r="79" spans="2:17" ht="15.75">
      <c r="B79" s="391" t="str">
        <f>תקן[[#This Row],[סוג פריט]]</f>
        <v>ריהוט</v>
      </c>
      <c r="C79" s="385" t="str">
        <f>תקן[[#This Row],[מיקום]]</f>
        <v>חדרי צוות/רב תחומי</v>
      </c>
      <c r="D79" s="385" t="str">
        <f>תקן[[#This Row],[תיאור הפריט]]</f>
        <v>שולחן משרדי</v>
      </c>
      <c r="E79" s="385">
        <f>תקן[[#This Row],[כמות]]</f>
        <v>1</v>
      </c>
      <c r="F79" s="385">
        <f>תקן[[#This Row],[עלות פריט]]</f>
        <v>2500</v>
      </c>
      <c r="G79" s="385">
        <f>תקן[[#This Row],[סהכ עלות]]</f>
        <v>2500</v>
      </c>
      <c r="H79" s="386"/>
      <c r="I79" s="245"/>
      <c r="J79" s="385">
        <f t="shared" si="25"/>
        <v>0</v>
      </c>
      <c r="K79" s="387" t="str">
        <f t="shared" si="26"/>
        <v/>
      </c>
      <c r="L79" s="246"/>
      <c r="N79" s="389">
        <f t="shared" si="27"/>
        <v>0</v>
      </c>
      <c r="O79" s="385">
        <f t="shared" si="28"/>
        <v>0</v>
      </c>
      <c r="P79" s="387" t="str">
        <f t="shared" si="29"/>
        <v/>
      </c>
      <c r="Q79" s="390"/>
    </row>
    <row r="80" spans="2:17" ht="15.75">
      <c r="B80" s="391" t="str">
        <f>תקן[[#This Row],[סוג פריט]]</f>
        <v>ריהוט</v>
      </c>
      <c r="C80" s="385" t="str">
        <f>תקן[[#This Row],[מיקום]]</f>
        <v>חדרי צוות/רב תחומי</v>
      </c>
      <c r="D80" s="385" t="str">
        <f>תקן[[#This Row],[תיאור הפריט]]</f>
        <v>כיסא משרדי מתכוונן</v>
      </c>
      <c r="E80" s="385">
        <f>תקן[[#This Row],[כמות]]</f>
        <v>1</v>
      </c>
      <c r="F80" s="385">
        <f>תקן[[#This Row],[עלות פריט]]</f>
        <v>1000</v>
      </c>
      <c r="G80" s="385">
        <f>תקן[[#This Row],[סהכ עלות]]</f>
        <v>1000</v>
      </c>
      <c r="H80" s="386"/>
      <c r="I80" s="245"/>
      <c r="J80" s="385">
        <f t="shared" si="25"/>
        <v>0</v>
      </c>
      <c r="K80" s="387" t="str">
        <f t="shared" si="26"/>
        <v/>
      </c>
      <c r="L80" s="246"/>
      <c r="N80" s="389">
        <f t="shared" si="27"/>
        <v>0</v>
      </c>
      <c r="O80" s="385">
        <f t="shared" si="28"/>
        <v>0</v>
      </c>
      <c r="P80" s="387" t="str">
        <f t="shared" si="29"/>
        <v/>
      </c>
      <c r="Q80" s="390"/>
    </row>
    <row r="81" spans="2:17" ht="15.75">
      <c r="B81" s="391" t="str">
        <f>תקן[[#This Row],[סוג פריט]]</f>
        <v>ריהוט</v>
      </c>
      <c r="C81" s="385" t="str">
        <f>תקן[[#This Row],[מיקום]]</f>
        <v>חצר</v>
      </c>
      <c r="D81" s="385" t="str">
        <f>תקן[[#This Row],[תיאור הפריט]]</f>
        <v>פינת ישיבה לחצר</v>
      </c>
      <c r="E81" s="385">
        <f>תקן[[#This Row],[כמות]]</f>
        <v>1</v>
      </c>
      <c r="F81" s="385">
        <f>תקן[[#This Row],[עלות פריט]]</f>
        <v>5000</v>
      </c>
      <c r="G81" s="385">
        <f>תקן[[#This Row],[סהכ עלות]]</f>
        <v>5000</v>
      </c>
      <c r="H81" s="386"/>
      <c r="I81" s="245"/>
      <c r="J81" s="385">
        <f t="shared" si="0"/>
        <v>0</v>
      </c>
      <c r="K81" s="387" t="str">
        <f t="shared" si="1"/>
        <v/>
      </c>
      <c r="L81" s="246"/>
      <c r="N81" s="389">
        <f t="shared" si="2"/>
        <v>0</v>
      </c>
      <c r="O81" s="385">
        <f t="shared" si="3"/>
        <v>0</v>
      </c>
      <c r="P81" s="387" t="str">
        <f t="shared" si="4"/>
        <v/>
      </c>
      <c r="Q81" s="390"/>
    </row>
    <row r="82" spans="2:17" ht="15.75">
      <c r="B82" s="391" t="str">
        <f>תקן[[#This Row],[סוג פריט]]</f>
        <v>ריהוט</v>
      </c>
      <c r="C82" s="385" t="str">
        <f>תקן[[#This Row],[מיקום]]</f>
        <v>חצר</v>
      </c>
      <c r="D82" s="385" t="str">
        <f>תקן[[#This Row],[תיאור הפריט]]</f>
        <v>שמשיית גן מסיבית כולל בסיס</v>
      </c>
      <c r="E82" s="385">
        <f>תקן[[#This Row],[כמות]]</f>
        <v>1</v>
      </c>
      <c r="F82" s="385">
        <f>תקן[[#This Row],[עלות פריט]]</f>
        <v>5000</v>
      </c>
      <c r="G82" s="385">
        <f>תקן[[#This Row],[סהכ עלות]]</f>
        <v>5000</v>
      </c>
      <c r="H82" s="386"/>
      <c r="I82" s="245"/>
      <c r="J82" s="385">
        <f t="shared" si="0"/>
        <v>0</v>
      </c>
      <c r="K82" s="387" t="str">
        <f t="shared" si="1"/>
        <v/>
      </c>
      <c r="L82" s="246"/>
      <c r="N82" s="389">
        <f t="shared" si="2"/>
        <v>0</v>
      </c>
      <c r="O82" s="385">
        <f t="shared" si="3"/>
        <v>0</v>
      </c>
      <c r="P82" s="387" t="str">
        <f t="shared" si="4"/>
        <v/>
      </c>
      <c r="Q82" s="390"/>
    </row>
    <row r="83" spans="2:17" ht="15.75">
      <c r="B83" s="391" t="str">
        <f>תקן[[#This Row],[סוג פריט]]</f>
        <v>ריהוט</v>
      </c>
      <c r="C83" s="385" t="str">
        <f>תקן[[#This Row],[מיקום]]</f>
        <v>כללי</v>
      </c>
      <c r="D83" s="385" t="str">
        <f>תקן[[#This Row],[תיאור הפריט]]</f>
        <v>ארון איחסון</v>
      </c>
      <c r="E83" s="385">
        <f>תקן[[#This Row],[כמות]]</f>
        <v>1</v>
      </c>
      <c r="F83" s="385">
        <f>תקן[[#This Row],[עלות פריט]]</f>
        <v>4500</v>
      </c>
      <c r="G83" s="385">
        <f>תקן[[#This Row],[סהכ עלות]]</f>
        <v>4500</v>
      </c>
      <c r="H83" s="386"/>
      <c r="I83" s="245"/>
      <c r="J83" s="385">
        <f t="shared" si="0"/>
        <v>0</v>
      </c>
      <c r="K83" s="387" t="str">
        <f t="shared" si="1"/>
        <v/>
      </c>
      <c r="L83" s="246"/>
      <c r="N83" s="389">
        <f t="shared" si="2"/>
        <v>0</v>
      </c>
      <c r="O83" s="385">
        <f t="shared" si="3"/>
        <v>0</v>
      </c>
      <c r="P83" s="387" t="str">
        <f t="shared" si="4"/>
        <v/>
      </c>
      <c r="Q83" s="390"/>
    </row>
    <row r="84" spans="2:17" ht="28.5">
      <c r="B84" s="391" t="str">
        <f>תקן[[#This Row],[סוג פריט]]</f>
        <v>ריהוט</v>
      </c>
      <c r="C84" s="385" t="str">
        <f>תקן[[#This Row],[מיקום]]</f>
        <v>כללי</v>
      </c>
      <c r="D84" s="385" t="str">
        <f>תקן[[#This Row],[תיאור הפריט]]</f>
        <v>וילונות הצללה כולל התקנה (עלות למ"ר) לא כולל וילונות לחדר האוכל</v>
      </c>
      <c r="E84" s="385">
        <f>תקן[[#This Row],[כמות]]</f>
        <v>30</v>
      </c>
      <c r="F84" s="385">
        <f>תקן[[#This Row],[עלות פריט]]</f>
        <v>500</v>
      </c>
      <c r="G84" s="385">
        <f>תקן[[#This Row],[סהכ עלות]]</f>
        <v>15000</v>
      </c>
      <c r="H84" s="386"/>
      <c r="I84" s="245"/>
      <c r="J84" s="385">
        <f t="shared" si="0"/>
        <v>0</v>
      </c>
      <c r="K84" s="387" t="str">
        <f t="shared" si="1"/>
        <v/>
      </c>
      <c r="L84" s="246"/>
      <c r="N84" s="389">
        <f t="shared" si="2"/>
        <v>0</v>
      </c>
      <c r="O84" s="385">
        <f t="shared" si="3"/>
        <v>0</v>
      </c>
      <c r="P84" s="387" t="str">
        <f t="shared" si="4"/>
        <v/>
      </c>
      <c r="Q84" s="390"/>
    </row>
    <row r="85" spans="2:17" ht="15.75">
      <c r="B85" s="391" t="str">
        <f>תקן[[#This Row],[סוג פריט]]</f>
        <v>ריהוט</v>
      </c>
      <c r="C85" s="385" t="str">
        <f>תקן[[#This Row],[מיקום]]</f>
        <v>כללי</v>
      </c>
      <c r="D85" s="385" t="str">
        <f>תקן[[#This Row],[תיאור הפריט]]</f>
        <v>יחידת מדפים</v>
      </c>
      <c r="E85" s="385">
        <f>תקן[[#This Row],[כמות]]</f>
        <v>2</v>
      </c>
      <c r="F85" s="385">
        <f>תקן[[#This Row],[עלות פריט]]</f>
        <v>1000</v>
      </c>
      <c r="G85" s="385">
        <f>תקן[[#This Row],[סהכ עלות]]</f>
        <v>2000</v>
      </c>
      <c r="H85" s="386"/>
      <c r="I85" s="245"/>
      <c r="J85" s="385">
        <f t="shared" si="0"/>
        <v>0</v>
      </c>
      <c r="K85" s="387" t="str">
        <f t="shared" si="1"/>
        <v/>
      </c>
      <c r="L85" s="246"/>
      <c r="N85" s="389">
        <f t="shared" si="2"/>
        <v>0</v>
      </c>
      <c r="O85" s="385">
        <f t="shared" si="3"/>
        <v>0</v>
      </c>
      <c r="P85" s="387" t="str">
        <f t="shared" si="4"/>
        <v/>
      </c>
      <c r="Q85" s="390"/>
    </row>
    <row r="86" spans="2:17" ht="15.75">
      <c r="B86" s="391" t="str">
        <f>תקן[[#This Row],[סוג פריט]]</f>
        <v>ריהוט</v>
      </c>
      <c r="C86" s="385" t="str">
        <f>תקן[[#This Row],[מיקום]]</f>
        <v>כללי</v>
      </c>
      <c r="D86" s="385" t="str">
        <f>תקן[[#This Row],[תיאור הפריט]]</f>
        <v>כיסא גלגלים</v>
      </c>
      <c r="E86" s="385">
        <f>תקן[[#This Row],[כמות]]</f>
        <v>2</v>
      </c>
      <c r="F86" s="385">
        <f>תקן[[#This Row],[עלות פריט]]</f>
        <v>1200</v>
      </c>
      <c r="G86" s="385">
        <f>תקן[[#This Row],[סהכ עלות]]</f>
        <v>2400</v>
      </c>
      <c r="H86" s="386"/>
      <c r="I86" s="245"/>
      <c r="J86" s="385">
        <f t="shared" si="0"/>
        <v>0</v>
      </c>
      <c r="K86" s="387" t="str">
        <f t="shared" si="1"/>
        <v/>
      </c>
      <c r="L86" s="246"/>
      <c r="N86" s="389">
        <f t="shared" si="2"/>
        <v>0</v>
      </c>
      <c r="O86" s="385">
        <f t="shared" si="3"/>
        <v>0</v>
      </c>
      <c r="P86" s="387" t="str">
        <f t="shared" si="4"/>
        <v/>
      </c>
      <c r="Q86" s="390"/>
    </row>
    <row r="87" spans="2:17" ht="15.75">
      <c r="B87" s="391" t="str">
        <f>תקן[[#This Row],[סוג פריט]]</f>
        <v>ריהוט</v>
      </c>
      <c r="C87" s="385" t="str">
        <f>תקן[[#This Row],[מיקום]]</f>
        <v>מבואה</v>
      </c>
      <c r="D87" s="385" t="str">
        <f>תקן[[#This Row],[תיאור הפריט]]</f>
        <v>ארון תצוגה</v>
      </c>
      <c r="E87" s="385">
        <f>תקן[[#This Row],[כמות]]</f>
        <v>1</v>
      </c>
      <c r="F87" s="385">
        <f>תקן[[#This Row],[עלות פריט]]</f>
        <v>6500</v>
      </c>
      <c r="G87" s="385">
        <f>תקן[[#This Row],[סהכ עלות]]</f>
        <v>6500</v>
      </c>
      <c r="H87" s="386"/>
      <c r="I87" s="245"/>
      <c r="J87" s="385">
        <f t="shared" si="0"/>
        <v>0</v>
      </c>
      <c r="K87" s="387" t="str">
        <f t="shared" si="1"/>
        <v/>
      </c>
      <c r="L87" s="246"/>
      <c r="N87" s="389">
        <f t="shared" si="2"/>
        <v>0</v>
      </c>
      <c r="O87" s="385">
        <f t="shared" si="3"/>
        <v>0</v>
      </c>
      <c r="P87" s="387" t="str">
        <f t="shared" si="4"/>
        <v/>
      </c>
      <c r="Q87" s="390"/>
    </row>
    <row r="88" spans="2:17" ht="15.75">
      <c r="B88" s="391" t="str">
        <f>תקן[[#This Row],[סוג פריט]]</f>
        <v>ריהוט</v>
      </c>
      <c r="C88" s="385" t="str">
        <f>תקן[[#This Row],[מיקום]]</f>
        <v>מבואה</v>
      </c>
      <c r="D88" s="385" t="str">
        <f>תקן[[#This Row],[תיאור הפריט]]</f>
        <v xml:space="preserve">כורסת הסבה  </v>
      </c>
      <c r="E88" s="385">
        <f>תקן[[#This Row],[כמות]]</f>
        <v>2</v>
      </c>
      <c r="F88" s="385">
        <f>תקן[[#This Row],[עלות פריט]]</f>
        <v>1000</v>
      </c>
      <c r="G88" s="385">
        <f>תקן[[#This Row],[סהכ עלות]]</f>
        <v>2000</v>
      </c>
      <c r="H88" s="386"/>
      <c r="I88" s="245"/>
      <c r="J88" s="385">
        <f>I88*F88</f>
        <v>0</v>
      </c>
      <c r="K88" s="387" t="str">
        <f>IF(J88=0,"",IF(OR(J88-$G88&gt;0,J88-$G88&lt;0),(J88-$G88)/$G88,""))</f>
        <v/>
      </c>
      <c r="L88" s="246"/>
      <c r="N88" s="389">
        <f>I88</f>
        <v>0</v>
      </c>
      <c r="O88" s="385">
        <f>N88*F88</f>
        <v>0</v>
      </c>
      <c r="P88" s="387" t="str">
        <f>IF(O88=0,"",IF(OR(O88-$G88&gt;0,O88-$G88&lt;0),(O88-$G88)/$G88,""))</f>
        <v/>
      </c>
      <c r="Q88" s="390"/>
    </row>
    <row r="89" spans="2:17" ht="15.75">
      <c r="B89" s="391" t="str">
        <f>תקן[[#This Row],[סוג פריט]]</f>
        <v>ריהוט</v>
      </c>
      <c r="C89" s="385" t="str">
        <f>תקן[[#This Row],[מיקום]]</f>
        <v>מבואה</v>
      </c>
      <c r="D89" s="385" t="str">
        <f>תקן[[#This Row],[תיאור הפריט]]</f>
        <v>כיסא פעילות/משרד</v>
      </c>
      <c r="E89" s="385">
        <f>תקן[[#This Row],[כמות]]</f>
        <v>3</v>
      </c>
      <c r="F89" s="385">
        <f>תקן[[#This Row],[עלות פריט]]</f>
        <v>600</v>
      </c>
      <c r="G89" s="385">
        <f>תקן[[#This Row],[סהכ עלות]]</f>
        <v>1800</v>
      </c>
      <c r="H89" s="386"/>
      <c r="I89" s="245"/>
      <c r="J89" s="385">
        <f>I89*F89</f>
        <v>0</v>
      </c>
      <c r="K89" s="387" t="str">
        <f>IF(J89=0,"",IF(OR(J89-$G89&gt;0,J89-$G89&lt;0),(J89-$G89)/$G89,""))</f>
        <v/>
      </c>
      <c r="L89" s="246"/>
      <c r="N89" s="389">
        <f>I89</f>
        <v>0</v>
      </c>
      <c r="O89" s="385">
        <f>N89*F89</f>
        <v>0</v>
      </c>
      <c r="P89" s="387" t="str">
        <f>IF(O89=0,"",IF(OR(O89-$G89&gt;0,O89-$G89&lt;0),(O89-$G89)/$G89,""))</f>
        <v/>
      </c>
      <c r="Q89" s="390"/>
    </row>
    <row r="90" spans="2:17" ht="15.75">
      <c r="B90" s="391" t="str">
        <f>תקן[[#This Row],[סוג פריט]]</f>
        <v>ריהוט</v>
      </c>
      <c r="C90" s="385" t="str">
        <f>תקן[[#This Row],[מיקום]]</f>
        <v>מבואה</v>
      </c>
      <c r="D90" s="385" t="str">
        <f>תקן[[#This Row],[תיאור הפריט]]</f>
        <v>שולחן סלון</v>
      </c>
      <c r="E90" s="385">
        <f>תקן[[#This Row],[כמות]]</f>
        <v>1</v>
      </c>
      <c r="F90" s="385">
        <f>תקן[[#This Row],[עלות פריט]]</f>
        <v>1200</v>
      </c>
      <c r="G90" s="385">
        <f>תקן[[#This Row],[סהכ עלות]]</f>
        <v>1200</v>
      </c>
      <c r="H90" s="386"/>
      <c r="I90" s="245"/>
      <c r="J90" s="385">
        <f t="shared" si="0"/>
        <v>0</v>
      </c>
      <c r="K90" s="387" t="str">
        <f t="shared" si="1"/>
        <v/>
      </c>
      <c r="L90" s="246"/>
      <c r="N90" s="389">
        <f t="shared" si="2"/>
        <v>0</v>
      </c>
      <c r="O90" s="385">
        <f t="shared" si="3"/>
        <v>0</v>
      </c>
      <c r="P90" s="387" t="str">
        <f t="shared" si="4"/>
        <v/>
      </c>
      <c r="Q90" s="390"/>
    </row>
    <row r="91" spans="2:17" ht="15.75">
      <c r="B91" s="391" t="str">
        <f>תקן[[#This Row],[סוג פריט]]</f>
        <v>ריהוט</v>
      </c>
      <c r="C91" s="385" t="str">
        <f>תקן[[#This Row],[מיקום]]</f>
        <v>מטבח</v>
      </c>
      <c r="D91" s="385" t="str">
        <f>תקן[[#This Row],[תיאור הפריט]]</f>
        <v>ארון חימום תבניות</v>
      </c>
      <c r="E91" s="385">
        <f>תקן[[#This Row],[כמות]]</f>
        <v>1</v>
      </c>
      <c r="F91" s="385">
        <f>תקן[[#This Row],[עלות פריט]]</f>
        <v>12000</v>
      </c>
      <c r="G91" s="385">
        <f>תקן[[#This Row],[סהכ עלות]]</f>
        <v>12000</v>
      </c>
      <c r="H91" s="386"/>
      <c r="I91" s="245"/>
      <c r="J91" s="385">
        <f>I91*F91</f>
        <v>0</v>
      </c>
      <c r="K91" s="387" t="str">
        <f>IF(J91=0,"",IF(OR(J91-$G91&gt;0,J91-$G91&lt;0),(J91-$G91)/$G91,""))</f>
        <v/>
      </c>
      <c r="L91" s="246"/>
      <c r="N91" s="389">
        <f>I91</f>
        <v>0</v>
      </c>
      <c r="O91" s="385">
        <f>N91*F91</f>
        <v>0</v>
      </c>
      <c r="P91" s="387" t="str">
        <f>IF(O91=0,"",IF(OR(O91-$G91&gt;0,O91-$G91&lt;0),(O91-$G91)/$G91,""))</f>
        <v/>
      </c>
      <c r="Q91" s="390"/>
    </row>
    <row r="92" spans="2:17" ht="15.75">
      <c r="B92" s="391" t="str">
        <f>תקן[[#This Row],[סוג פריט]]</f>
        <v>ריהוט</v>
      </c>
      <c r="C92" s="385" t="str">
        <f>תקן[[#This Row],[מיקום]]</f>
        <v>מטבח</v>
      </c>
      <c r="D92" s="385" t="str">
        <f>תקן[[#This Row],[תיאור הפריט]]</f>
        <v>כוננית לאיחסון כלים וסירים</v>
      </c>
      <c r="E92" s="385">
        <f>תקן[[#This Row],[כמות]]</f>
        <v>1</v>
      </c>
      <c r="F92" s="385">
        <f>תקן[[#This Row],[עלות פריט]]</f>
        <v>1500</v>
      </c>
      <c r="G92" s="385">
        <f>תקן[[#This Row],[סהכ עלות]]</f>
        <v>1500</v>
      </c>
      <c r="H92" s="386"/>
      <c r="I92" s="245"/>
      <c r="J92" s="385">
        <f>I92*F92</f>
        <v>0</v>
      </c>
      <c r="K92" s="387" t="str">
        <f>IF(J92=0,"",IF(OR(J92-$G92&gt;0,J92-$G92&lt;0),(J92-$G92)/$G92,""))</f>
        <v/>
      </c>
      <c r="L92" s="246"/>
      <c r="N92" s="389">
        <f>I92</f>
        <v>0</v>
      </c>
      <c r="O92" s="385">
        <f>N92*F92</f>
        <v>0</v>
      </c>
      <c r="P92" s="387" t="str">
        <f>IF(O92=0,"",IF(OR(O92-$G92&gt;0,O92-$G92&lt;0),(O92-$G92)/$G92,""))</f>
        <v/>
      </c>
      <c r="Q92" s="390"/>
    </row>
    <row r="93" spans="2:17" ht="15.75">
      <c r="B93" s="391" t="str">
        <f>תקן[[#This Row],[סוג פריט]]</f>
        <v>ריהוט</v>
      </c>
      <c r="C93" s="385" t="str">
        <f>תקן[[#This Row],[מיקום]]</f>
        <v>מטבח</v>
      </c>
      <c r="D93" s="385" t="str">
        <f>תקן[[#This Row],[תיאור הפריט]]</f>
        <v>עגלת נירוסטה 3 קומות</v>
      </c>
      <c r="E93" s="385">
        <f>תקן[[#This Row],[כמות]]</f>
        <v>2</v>
      </c>
      <c r="F93" s="385">
        <f>תקן[[#This Row],[עלות פריט]]</f>
        <v>1500</v>
      </c>
      <c r="G93" s="385">
        <f>תקן[[#This Row],[סהכ עלות]]</f>
        <v>3000</v>
      </c>
      <c r="H93" s="386"/>
      <c r="I93" s="245"/>
      <c r="J93" s="385">
        <f>I93*F93</f>
        <v>0</v>
      </c>
      <c r="K93" s="387" t="str">
        <f>IF(J93=0,"",IF(OR(J93-$G93&gt;0,J93-$G93&lt;0),(J93-$G93)/$G93,""))</f>
        <v/>
      </c>
      <c r="L93" s="246"/>
      <c r="N93" s="389">
        <f>I93</f>
        <v>0</v>
      </c>
      <c r="O93" s="385">
        <f>N93*F93</f>
        <v>0</v>
      </c>
      <c r="P93" s="387" t="str">
        <f>IF(O93=0,"",IF(OR(O93-$G93&gt;0,O93-$G93&lt;0),(O93-$G93)/$G93,""))</f>
        <v/>
      </c>
      <c r="Q93" s="390"/>
    </row>
    <row r="94" spans="2:17" ht="15.75">
      <c r="B94" s="391" t="str">
        <f>תקן[[#This Row],[סוג פריט]]</f>
        <v>ריהוט</v>
      </c>
      <c r="C94" s="385" t="str">
        <f>תקן[[#This Row],[מיקום]]</f>
        <v>מטבח</v>
      </c>
      <c r="D94" s="385" t="str">
        <f>תקן[[#This Row],[תיאור הפריט]]</f>
        <v>עגלת נירוסטה לפח אשפה</v>
      </c>
      <c r="E94" s="385">
        <f>תקן[[#This Row],[כמות]]</f>
        <v>1</v>
      </c>
      <c r="F94" s="385">
        <f>תקן[[#This Row],[עלות פריט]]</f>
        <v>500</v>
      </c>
      <c r="G94" s="385">
        <f>תקן[[#This Row],[סהכ עלות]]</f>
        <v>500</v>
      </c>
      <c r="H94" s="386"/>
      <c r="I94" s="245"/>
      <c r="J94" s="385">
        <f t="shared" si="0"/>
        <v>0</v>
      </c>
      <c r="K94" s="387" t="str">
        <f t="shared" si="1"/>
        <v/>
      </c>
      <c r="L94" s="246"/>
      <c r="N94" s="389">
        <f t="shared" si="2"/>
        <v>0</v>
      </c>
      <c r="O94" s="385">
        <f t="shared" si="3"/>
        <v>0</v>
      </c>
      <c r="P94" s="387" t="str">
        <f t="shared" si="4"/>
        <v/>
      </c>
      <c r="Q94" s="390"/>
    </row>
    <row r="95" spans="2:17" ht="15.75">
      <c r="B95" s="391" t="str">
        <f>תקן[[#This Row],[סוג פריט]]</f>
        <v>ריהוט</v>
      </c>
      <c r="C95" s="385" t="str">
        <f>תקן[[#This Row],[מיקום]]</f>
        <v>מטבח</v>
      </c>
      <c r="D95" s="385" t="str">
        <f>תקן[[#This Row],[תיאור הפריט]]</f>
        <v>שולחן כניסה ויציאה למדיח</v>
      </c>
      <c r="E95" s="385">
        <f>תקן[[#This Row],[כמות]]</f>
        <v>1</v>
      </c>
      <c r="F95" s="385">
        <f>תקן[[#This Row],[עלות פריט]]</f>
        <v>5000</v>
      </c>
      <c r="G95" s="385">
        <f>תקן[[#This Row],[סהכ עלות]]</f>
        <v>5000</v>
      </c>
      <c r="H95" s="386"/>
      <c r="I95" s="245"/>
      <c r="J95" s="385">
        <f t="shared" ref="J95:J97" si="30">I95*F95</f>
        <v>0</v>
      </c>
      <c r="K95" s="387" t="str">
        <f t="shared" ref="K95:K97" si="31">IF(J95=0,"",IF(OR(J95-$G95&gt;0,J95-$G95&lt;0),(J95-$G95)/$G95,""))</f>
        <v/>
      </c>
      <c r="L95" s="246"/>
      <c r="N95" s="389">
        <f t="shared" ref="N95:N97" si="32">I95</f>
        <v>0</v>
      </c>
      <c r="O95" s="385">
        <f t="shared" ref="O95:O97" si="33">N95*F95</f>
        <v>0</v>
      </c>
      <c r="P95" s="387" t="str">
        <f t="shared" ref="P95:P97" si="34">IF(O95=0,"",IF(OR(O95-$G95&gt;0,O95-$G95&lt;0),(O95-$G95)/$G95,""))</f>
        <v/>
      </c>
      <c r="Q95" s="390"/>
    </row>
    <row r="96" spans="2:17" ht="15.75">
      <c r="B96" s="391" t="str">
        <f>תקן[[#This Row],[סוג פריט]]</f>
        <v>ריהוט</v>
      </c>
      <c r="C96" s="385" t="str">
        <f>תקן[[#This Row],[מיקום]]</f>
        <v>מטבח</v>
      </c>
      <c r="D96" s="385" t="str">
        <f>תקן[[#This Row],[תיאור הפריט]]</f>
        <v>שולחן נירוסטה לעבודה במטבח</v>
      </c>
      <c r="E96" s="385">
        <f>תקן[[#This Row],[כמות]]</f>
        <v>2</v>
      </c>
      <c r="F96" s="385">
        <f>תקן[[#This Row],[עלות פריט]]</f>
        <v>3500</v>
      </c>
      <c r="G96" s="385">
        <f>תקן[[#This Row],[סהכ עלות]]</f>
        <v>7000</v>
      </c>
      <c r="H96" s="386"/>
      <c r="I96" s="245"/>
      <c r="J96" s="385">
        <f t="shared" si="30"/>
        <v>0</v>
      </c>
      <c r="K96" s="387" t="str">
        <f t="shared" si="31"/>
        <v/>
      </c>
      <c r="L96" s="246"/>
      <c r="N96" s="389">
        <f t="shared" si="32"/>
        <v>0</v>
      </c>
      <c r="O96" s="385">
        <f t="shared" si="33"/>
        <v>0</v>
      </c>
      <c r="P96" s="387" t="str">
        <f t="shared" si="34"/>
        <v/>
      </c>
      <c r="Q96" s="390"/>
    </row>
    <row r="97" spans="2:17" ht="15.75">
      <c r="B97" s="391" t="str">
        <f>תקן[[#This Row],[סוג פריט]]</f>
        <v>ריהוט</v>
      </c>
      <c r="C97" s="385" t="str">
        <f>תקן[[#This Row],[מיקום]]</f>
        <v>מכבסה</v>
      </c>
      <c r="D97" s="385" t="str">
        <f>תקן[[#This Row],[תיאור הפריט]]</f>
        <v>ארון איחסון מפלסטיק</v>
      </c>
      <c r="E97" s="385">
        <f>תקן[[#This Row],[כמות]]</f>
        <v>1</v>
      </c>
      <c r="F97" s="385">
        <f>תקן[[#This Row],[עלות פריט]]</f>
        <v>1500</v>
      </c>
      <c r="G97" s="385">
        <f>תקן[[#This Row],[סהכ עלות]]</f>
        <v>1500</v>
      </c>
      <c r="H97" s="386"/>
      <c r="I97" s="245"/>
      <c r="J97" s="385">
        <f t="shared" si="30"/>
        <v>0</v>
      </c>
      <c r="K97" s="387" t="str">
        <f t="shared" si="31"/>
        <v/>
      </c>
      <c r="L97" s="246"/>
      <c r="N97" s="389">
        <f t="shared" si="32"/>
        <v>0</v>
      </c>
      <c r="O97" s="385">
        <f t="shared" si="33"/>
        <v>0</v>
      </c>
      <c r="P97" s="387" t="str">
        <f t="shared" si="34"/>
        <v/>
      </c>
      <c r="Q97" s="390"/>
    </row>
    <row r="98" spans="2:17" ht="18">
      <c r="I98" s="423" t="s">
        <v>9</v>
      </c>
      <c r="J98" s="424">
        <f>SUM(J11:J97)</f>
        <v>0</v>
      </c>
      <c r="K98" s="420"/>
      <c r="L98" s="421"/>
      <c r="N98" s="423" t="s">
        <v>9</v>
      </c>
      <c r="O98" s="424">
        <f>SUM(O11:O97)</f>
        <v>0</v>
      </c>
      <c r="P98" s="420"/>
      <c r="Q98" s="422"/>
    </row>
  </sheetData>
  <sheetProtection algorithmName="SHA-512" hashValue="0AN/CLbj5/u3J96KncgiK/pJUUePzgV6UfnYi4Jx04OzPsJgmtT80Av/a1O+jYDgbWo9akmITw+5VbOeW3MHCQ==" saltValue="PpyYlvUmv+Vyyvld/7CwIw==" spinCount="100000" sheet="1" autoFilter="0"/>
  <autoFilter ref="B10:D97" xr:uid="{00000000-0009-0000-0000-000003000000}"/>
  <mergeCells count="9">
    <mergeCell ref="I9:L9"/>
    <mergeCell ref="B9:G9"/>
    <mergeCell ref="B2:Q2"/>
    <mergeCell ref="B5:Q5"/>
    <mergeCell ref="N9:Q9"/>
    <mergeCell ref="B3:Q3"/>
    <mergeCell ref="B4:F4"/>
    <mergeCell ref="B6:Q6"/>
    <mergeCell ref="B7:Q7"/>
  </mergeCells>
  <conditionalFormatting sqref="K11:K97 P11:P97">
    <cfRule type="cellIs" dxfId="13" priority="3" operator="greaterThan">
      <formula>0</formula>
    </cfRule>
  </conditionalFormatting>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9"/>
  <dimension ref="A1:Q14"/>
  <sheetViews>
    <sheetView showGridLines="0" rightToLeft="1" workbookViewId="0">
      <selection activeCell="B3" sqref="B3:P3"/>
    </sheetView>
  </sheetViews>
  <sheetFormatPr defaultColWidth="9" defaultRowHeight="14.25"/>
  <cols>
    <col min="1" max="1" width="3" style="99" customWidth="1"/>
    <col min="2" max="2" width="42.875" style="100" customWidth="1"/>
    <col min="3" max="3" width="28.375" style="101" customWidth="1"/>
    <col min="4" max="4" width="11" style="99" customWidth="1"/>
    <col min="5" max="5" width="14.125" style="99" customWidth="1"/>
    <col min="6" max="6" width="15.875" style="99" customWidth="1"/>
    <col min="7" max="7" width="6" style="99" customWidth="1"/>
    <col min="8" max="8" width="11.875" style="101" customWidth="1"/>
    <col min="9" max="9" width="11" style="101" customWidth="1"/>
    <col min="10" max="10" width="9.125" style="101" customWidth="1"/>
    <col min="11" max="11" width="16.25" style="102" customWidth="1"/>
    <col min="12" max="12" width="9" style="99"/>
    <col min="13" max="13" width="12.125" style="101" customWidth="1"/>
    <col min="14" max="14" width="11.875" style="101" customWidth="1"/>
    <col min="15" max="15" width="9" style="101"/>
    <col min="16" max="16" width="11.875" style="101" customWidth="1"/>
    <col min="17" max="16384" width="9" style="99"/>
  </cols>
  <sheetData>
    <row r="1" spans="1:17" ht="15" thickBot="1"/>
    <row r="2" spans="1:17" ht="24.95" customHeight="1" thickBot="1">
      <c r="A2" s="103"/>
      <c r="B2" s="557" t="s">
        <v>125</v>
      </c>
      <c r="C2" s="558"/>
      <c r="D2" s="558"/>
      <c r="E2" s="558"/>
      <c r="F2" s="558"/>
      <c r="G2" s="558"/>
      <c r="H2" s="558"/>
      <c r="I2" s="558"/>
      <c r="J2" s="558"/>
      <c r="K2" s="558"/>
      <c r="L2" s="558"/>
      <c r="M2" s="558"/>
      <c r="N2" s="558"/>
      <c r="O2" s="558"/>
      <c r="P2" s="559"/>
    </row>
    <row r="3" spans="1:17" ht="24.95" customHeight="1" thickBot="1">
      <c r="A3" s="360"/>
      <c r="B3" s="576" t="s">
        <v>460</v>
      </c>
      <c r="C3" s="576"/>
      <c r="D3" s="576"/>
      <c r="E3" s="576"/>
      <c r="F3" s="576"/>
      <c r="G3" s="576"/>
      <c r="H3" s="576"/>
      <c r="I3" s="576"/>
      <c r="J3" s="576"/>
      <c r="K3" s="576"/>
      <c r="L3" s="576"/>
      <c r="M3" s="576"/>
      <c r="N3" s="576"/>
      <c r="O3" s="576"/>
      <c r="P3" s="576"/>
      <c r="Q3" s="361"/>
    </row>
    <row r="4" spans="1:17" s="103" customFormat="1" ht="15.75">
      <c r="B4" s="106" t="s">
        <v>271</v>
      </c>
      <c r="C4" s="107"/>
      <c r="D4" s="108"/>
      <c r="E4" s="109"/>
      <c r="F4" s="109"/>
      <c r="G4" s="108"/>
      <c r="H4" s="107"/>
      <c r="I4" s="107"/>
      <c r="J4" s="107"/>
      <c r="K4" s="107"/>
      <c r="L4" s="108"/>
      <c r="M4" s="107"/>
      <c r="N4" s="107"/>
      <c r="O4" s="107"/>
      <c r="P4" s="110"/>
    </row>
    <row r="5" spans="1:17" s="103" customFormat="1" ht="15">
      <c r="B5" s="111" t="s">
        <v>345</v>
      </c>
      <c r="C5" s="358"/>
      <c r="D5" s="357"/>
      <c r="E5" s="359"/>
      <c r="F5" s="359"/>
      <c r="G5" s="357"/>
      <c r="H5" s="358"/>
      <c r="I5" s="358"/>
      <c r="J5" s="358"/>
      <c r="K5" s="358"/>
      <c r="L5" s="357"/>
      <c r="M5" s="358"/>
      <c r="N5" s="358"/>
      <c r="O5" s="358"/>
      <c r="P5" s="112"/>
    </row>
    <row r="6" spans="1:17" s="103" customFormat="1" ht="15.75">
      <c r="B6" s="111" t="s">
        <v>457</v>
      </c>
      <c r="C6" s="358"/>
      <c r="D6" s="357"/>
      <c r="E6" s="359"/>
      <c r="F6" s="359"/>
      <c r="G6" s="357"/>
      <c r="H6" s="358"/>
      <c r="I6" s="358"/>
      <c r="J6" s="358"/>
      <c r="K6" s="358"/>
      <c r="L6" s="357"/>
      <c r="M6" s="358"/>
      <c r="N6" s="358"/>
      <c r="O6" s="358"/>
      <c r="P6" s="112"/>
    </row>
    <row r="7" spans="1:17" s="103" customFormat="1" ht="15">
      <c r="B7" s="111" t="s">
        <v>75</v>
      </c>
      <c r="C7" s="358"/>
      <c r="D7" s="357"/>
      <c r="E7" s="359"/>
      <c r="F7" s="359"/>
      <c r="G7" s="357"/>
      <c r="H7" s="358"/>
      <c r="I7" s="358"/>
      <c r="J7" s="358"/>
      <c r="K7" s="358"/>
      <c r="L7" s="357"/>
      <c r="M7" s="358"/>
      <c r="N7" s="358"/>
      <c r="O7" s="358"/>
      <c r="P7" s="112"/>
    </row>
    <row r="8" spans="1:17" s="103" customFormat="1" ht="16.5" thickBot="1">
      <c r="B8" s="113" t="s">
        <v>255</v>
      </c>
      <c r="C8" s="114"/>
      <c r="D8" s="115"/>
      <c r="E8" s="116"/>
      <c r="F8" s="116"/>
      <c r="G8" s="115"/>
      <c r="H8" s="114"/>
      <c r="I8" s="114"/>
      <c r="J8" s="114"/>
      <c r="K8" s="114"/>
      <c r="L8" s="115"/>
      <c r="M8" s="114"/>
      <c r="N8" s="114"/>
      <c r="O8" s="114"/>
      <c r="P8" s="117"/>
    </row>
    <row r="9" spans="1:17">
      <c r="J9" s="105"/>
      <c r="K9" s="105"/>
    </row>
    <row r="10" spans="1:17" ht="18" customHeight="1">
      <c r="A10" s="103"/>
      <c r="B10" s="554" t="s">
        <v>126</v>
      </c>
      <c r="C10" s="555"/>
      <c r="D10" s="574"/>
      <c r="E10" s="574"/>
      <c r="F10" s="575"/>
      <c r="G10" s="173"/>
      <c r="H10" s="551" t="s">
        <v>87</v>
      </c>
      <c r="I10" s="572"/>
      <c r="J10" s="572"/>
      <c r="K10" s="573"/>
      <c r="L10" s="16"/>
      <c r="M10" s="551" t="s">
        <v>330</v>
      </c>
      <c r="N10" s="552"/>
      <c r="O10" s="552"/>
      <c r="P10" s="553"/>
    </row>
    <row r="11" spans="1:17" ht="47.25">
      <c r="A11" s="103"/>
      <c r="B11" s="186" t="s">
        <v>99</v>
      </c>
      <c r="C11" s="224" t="s">
        <v>195</v>
      </c>
      <c r="D11" s="186" t="s">
        <v>100</v>
      </c>
      <c r="E11" s="225" t="s">
        <v>47</v>
      </c>
      <c r="F11" s="225" t="s">
        <v>101</v>
      </c>
      <c r="G11" s="119"/>
      <c r="H11" s="127" t="s">
        <v>102</v>
      </c>
      <c r="I11" s="127" t="s">
        <v>127</v>
      </c>
      <c r="J11" s="128" t="s">
        <v>89</v>
      </c>
      <c r="K11" s="129" t="s">
        <v>104</v>
      </c>
      <c r="L11" s="17"/>
      <c r="M11" s="127" t="s">
        <v>105</v>
      </c>
      <c r="N11" s="127" t="s">
        <v>128</v>
      </c>
      <c r="O11" s="129" t="s">
        <v>89</v>
      </c>
      <c r="P11" s="129" t="s">
        <v>328</v>
      </c>
    </row>
    <row r="12" spans="1:17" ht="30" customHeight="1">
      <c r="A12" s="103"/>
      <c r="B12" s="385" t="s">
        <v>425</v>
      </c>
      <c r="C12" s="385" t="s">
        <v>426</v>
      </c>
      <c r="D12" s="398">
        <v>1</v>
      </c>
      <c r="E12" s="399">
        <v>2000</v>
      </c>
      <c r="F12" s="399">
        <f>D12*E12</f>
        <v>2000</v>
      </c>
      <c r="G12" s="119"/>
      <c r="H12" s="248"/>
      <c r="I12" s="244">
        <f>IFERROR(H12*E12,"")</f>
        <v>0</v>
      </c>
      <c r="J12" s="132" t="str">
        <f t="shared" ref="J12:J13" si="0">IF(I12=0,"",IF(OR(I12-$F12&gt;0,I12-$F12&lt;0),(I12-$F12)/$F12,""))</f>
        <v/>
      </c>
      <c r="K12" s="249"/>
      <c r="L12" s="17"/>
      <c r="M12" s="247">
        <f>H12</f>
        <v>0</v>
      </c>
      <c r="N12" s="244">
        <f>M12*E12</f>
        <v>0</v>
      </c>
      <c r="O12" s="132" t="str">
        <f t="shared" ref="O12" si="1">IFERROR(IF(N12=0,"",IF(OR(N12-$F12&gt;0,N12-$F12&lt;0),(N12-$F12)/$F12,"")),"")</f>
        <v/>
      </c>
      <c r="P12" s="18"/>
    </row>
    <row r="13" spans="1:17" ht="44.25" customHeight="1">
      <c r="A13" s="103"/>
      <c r="B13" s="385" t="s">
        <v>427</v>
      </c>
      <c r="C13" s="385" t="s">
        <v>196</v>
      </c>
      <c r="D13" s="398">
        <v>1</v>
      </c>
      <c r="E13" s="399">
        <v>2000</v>
      </c>
      <c r="F13" s="399">
        <f t="shared" ref="F13" si="2">D13*E13</f>
        <v>2000</v>
      </c>
      <c r="G13" s="119"/>
      <c r="H13" s="248"/>
      <c r="I13" s="364">
        <f t="shared" ref="I13" si="3">IFERROR(H13*E13,"")</f>
        <v>0</v>
      </c>
      <c r="J13" s="132" t="str">
        <f t="shared" si="0"/>
        <v/>
      </c>
      <c r="K13" s="249"/>
      <c r="L13" s="17"/>
      <c r="M13" s="247">
        <f>H13</f>
        <v>0</v>
      </c>
      <c r="N13" s="364">
        <f>M13*E13</f>
        <v>0</v>
      </c>
      <c r="O13" s="132" t="str">
        <f t="shared" ref="O13" si="4">IFERROR(IF(N13=0,"",IF(OR(N13-$F13&gt;0,N13-$F13&lt;0),(N13-$F13)/$F13,"")),"")</f>
        <v/>
      </c>
      <c r="P13" s="18"/>
    </row>
    <row r="14" spans="1:17" ht="18">
      <c r="A14" s="103"/>
      <c r="B14" s="449"/>
      <c r="C14" s="450"/>
      <c r="D14" s="450"/>
      <c r="E14" s="450"/>
      <c r="F14" s="450"/>
      <c r="G14" s="450"/>
      <c r="H14" s="447" t="s">
        <v>9</v>
      </c>
      <c r="I14" s="448">
        <f>SUM(I12:I13)</f>
        <v>0</v>
      </c>
      <c r="J14" s="552"/>
      <c r="K14" s="553"/>
      <c r="L14" s="450"/>
      <c r="M14" s="451"/>
      <c r="N14" s="448">
        <f>SUM(N12:N13)</f>
        <v>0</v>
      </c>
      <c r="O14" s="552"/>
      <c r="P14" s="553"/>
    </row>
  </sheetData>
  <sheetProtection algorithmName="SHA-512" hashValue="6Z+iAQjnozHOGtMEVd7/xQjggFK3oKQGN2GJGm6cnGmCjhPlf/Vmbk4l3qNykIKuZ6+aRYzHldkXSYVVroIE3g==" saltValue="T4vs1w1mGcE4QUaj6hZT/w==" spinCount="100000" sheet="1" autoFilter="0"/>
  <autoFilter ref="B11:C11" xr:uid="{00000000-0009-0000-0000-000004000000}"/>
  <mergeCells count="7">
    <mergeCell ref="J14:K14"/>
    <mergeCell ref="O14:P14"/>
    <mergeCell ref="B2:P2"/>
    <mergeCell ref="H10:K10"/>
    <mergeCell ref="B10:F10"/>
    <mergeCell ref="B3:P3"/>
    <mergeCell ref="M10:P10"/>
  </mergeCells>
  <conditionalFormatting sqref="J12:J13 O12:O13">
    <cfRule type="cellIs" dxfId="12" priority="1" operator="greaterThan">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10">
    <pageSetUpPr fitToPage="1"/>
  </sheetPr>
  <dimension ref="A1:R25"/>
  <sheetViews>
    <sheetView showGridLines="0" rightToLeft="1" topLeftCell="B1" workbookViewId="0">
      <selection activeCell="E14" sqref="E14:E24"/>
    </sheetView>
  </sheetViews>
  <sheetFormatPr defaultColWidth="9" defaultRowHeight="15"/>
  <cols>
    <col min="1" max="1" width="3.625" style="121" customWidth="1"/>
    <col min="2" max="2" width="27.125" style="104" customWidth="1"/>
    <col min="3" max="3" width="25.625" style="105" customWidth="1"/>
    <col min="4" max="4" width="31.75" style="105" customWidth="1"/>
    <col min="5" max="5" width="11.75" style="223" customWidth="1"/>
    <col min="6" max="6" width="11.25" style="425" customWidth="1"/>
    <col min="7" max="7" width="11.375" style="426" customWidth="1"/>
    <col min="8" max="8" width="7" style="103" customWidth="1"/>
    <col min="9" max="9" width="12.75" style="121" customWidth="1"/>
    <col min="10" max="10" width="13.375" style="121" customWidth="1"/>
    <col min="11" max="11" width="10.625" style="121" customWidth="1"/>
    <col min="12" max="12" width="15.125" style="103" customWidth="1"/>
    <col min="13" max="13" width="5.5" style="103" customWidth="1"/>
    <col min="14" max="14" width="9" style="103"/>
    <col min="15" max="15" width="12.25" style="103" customWidth="1"/>
    <col min="16" max="16" width="9" style="103"/>
    <col min="17" max="17" width="14.625" style="103" customWidth="1"/>
    <col min="18" max="16384" width="9" style="103"/>
  </cols>
  <sheetData>
    <row r="1" spans="1:18" ht="15.75" thickBot="1">
      <c r="I1" s="103"/>
      <c r="J1" s="103"/>
      <c r="K1" s="103"/>
    </row>
    <row r="2" spans="1:18" ht="24.95" customHeight="1" thickBot="1">
      <c r="A2" s="103"/>
      <c r="B2" s="557" t="s">
        <v>130</v>
      </c>
      <c r="C2" s="558"/>
      <c r="D2" s="558"/>
      <c r="E2" s="558"/>
      <c r="F2" s="558"/>
      <c r="G2" s="558"/>
      <c r="H2" s="558"/>
      <c r="I2" s="558"/>
      <c r="J2" s="558"/>
      <c r="K2" s="558"/>
      <c r="L2" s="558"/>
      <c r="M2" s="558"/>
      <c r="N2" s="558"/>
      <c r="O2" s="558"/>
      <c r="P2" s="558"/>
      <c r="Q2" s="559"/>
    </row>
    <row r="3" spans="1:18" ht="24.95" customHeight="1" thickBot="1">
      <c r="A3" s="351"/>
      <c r="B3" s="576" t="s">
        <v>407</v>
      </c>
      <c r="C3" s="576"/>
      <c r="D3" s="576"/>
      <c r="E3" s="576"/>
      <c r="F3" s="576"/>
      <c r="G3" s="576"/>
      <c r="H3" s="576"/>
      <c r="I3" s="576"/>
      <c r="J3" s="576"/>
      <c r="K3" s="576"/>
      <c r="L3" s="576"/>
      <c r="M3" s="576"/>
      <c r="N3" s="576"/>
      <c r="O3" s="576"/>
      <c r="P3" s="576"/>
      <c r="Q3" s="576"/>
      <c r="R3" s="351"/>
    </row>
    <row r="4" spans="1:18" s="156" customFormat="1" ht="15.75" customHeight="1">
      <c r="B4" s="579" t="s">
        <v>408</v>
      </c>
      <c r="C4" s="580"/>
      <c r="D4" s="580"/>
      <c r="E4" s="580"/>
      <c r="F4" s="580"/>
      <c r="G4" s="580"/>
      <c r="H4" s="580"/>
      <c r="I4" s="580"/>
      <c r="J4" s="580"/>
      <c r="K4" s="580"/>
      <c r="L4" s="580"/>
      <c r="M4" s="580"/>
      <c r="N4" s="580"/>
      <c r="O4" s="580"/>
      <c r="P4" s="580"/>
      <c r="Q4" s="581"/>
    </row>
    <row r="5" spans="1:18" s="156" customFormat="1" ht="15" customHeight="1">
      <c r="B5" s="582" t="s">
        <v>409</v>
      </c>
      <c r="C5" s="583"/>
      <c r="D5" s="583"/>
      <c r="E5" s="583"/>
      <c r="F5" s="583"/>
      <c r="G5" s="583"/>
      <c r="H5" s="583"/>
      <c r="I5" s="583"/>
      <c r="J5" s="583"/>
      <c r="K5" s="583"/>
      <c r="L5" s="583"/>
      <c r="M5" s="583"/>
      <c r="N5" s="583"/>
      <c r="O5" s="583"/>
      <c r="P5" s="583"/>
      <c r="Q5" s="584"/>
    </row>
    <row r="6" spans="1:18" s="156" customFormat="1" ht="15" customHeight="1">
      <c r="B6" s="582" t="s">
        <v>410</v>
      </c>
      <c r="C6" s="583"/>
      <c r="D6" s="583"/>
      <c r="E6" s="583"/>
      <c r="F6" s="583"/>
      <c r="G6" s="583"/>
      <c r="H6" s="583"/>
      <c r="I6" s="583"/>
      <c r="J6" s="583"/>
      <c r="K6" s="583"/>
      <c r="L6" s="583"/>
      <c r="M6" s="583"/>
      <c r="N6" s="583"/>
      <c r="O6" s="583"/>
      <c r="P6" s="583"/>
      <c r="Q6" s="584"/>
    </row>
    <row r="7" spans="1:18" s="156" customFormat="1" ht="17.25" customHeight="1">
      <c r="B7" s="585" t="s">
        <v>458</v>
      </c>
      <c r="C7" s="586"/>
      <c r="D7" s="586"/>
      <c r="E7" s="586"/>
      <c r="F7" s="586"/>
      <c r="G7" s="586"/>
      <c r="H7" s="586"/>
      <c r="I7" s="586"/>
      <c r="J7" s="586"/>
      <c r="K7" s="586"/>
      <c r="L7" s="586"/>
      <c r="M7" s="586"/>
      <c r="N7" s="586"/>
      <c r="O7" s="586"/>
      <c r="P7" s="586"/>
      <c r="Q7" s="587"/>
    </row>
    <row r="8" spans="1:18" s="156" customFormat="1" ht="15" customHeight="1">
      <c r="A8" s="122"/>
      <c r="B8" s="585" t="s">
        <v>423</v>
      </c>
      <c r="C8" s="586"/>
      <c r="D8" s="586"/>
      <c r="E8" s="586"/>
      <c r="F8" s="586"/>
      <c r="G8" s="586"/>
      <c r="H8" s="586"/>
      <c r="I8" s="586"/>
      <c r="J8" s="586"/>
      <c r="K8" s="586"/>
      <c r="L8" s="586"/>
      <c r="M8" s="586"/>
      <c r="N8" s="586"/>
      <c r="O8" s="586"/>
      <c r="P8" s="586"/>
      <c r="Q8" s="587"/>
    </row>
    <row r="9" spans="1:18" s="156" customFormat="1" ht="18" customHeight="1">
      <c r="B9" s="585" t="s">
        <v>422</v>
      </c>
      <c r="C9" s="586"/>
      <c r="D9" s="586"/>
      <c r="E9" s="586"/>
      <c r="F9" s="586"/>
      <c r="G9" s="586"/>
      <c r="H9" s="586"/>
      <c r="I9" s="586"/>
      <c r="J9" s="586"/>
      <c r="K9" s="586"/>
      <c r="L9" s="586"/>
      <c r="M9" s="586"/>
      <c r="N9" s="586"/>
      <c r="O9" s="586"/>
      <c r="P9" s="586"/>
      <c r="Q9" s="587"/>
    </row>
    <row r="10" spans="1:18" s="156" customFormat="1" ht="16.5" thickBot="1">
      <c r="B10" s="113" t="s">
        <v>255</v>
      </c>
      <c r="C10" s="114"/>
      <c r="D10" s="114"/>
      <c r="E10" s="114"/>
      <c r="F10" s="145"/>
      <c r="G10" s="145"/>
      <c r="H10" s="114"/>
      <c r="I10" s="114"/>
      <c r="J10" s="114"/>
      <c r="K10" s="114"/>
      <c r="L10" s="114"/>
      <c r="M10" s="114"/>
      <c r="N10" s="114"/>
      <c r="O10" s="114"/>
      <c r="P10" s="114"/>
      <c r="Q10" s="117"/>
    </row>
    <row r="11" spans="1:18">
      <c r="A11" s="103"/>
      <c r="B11" s="123"/>
      <c r="C11" s="124"/>
      <c r="D11" s="124"/>
      <c r="E11" s="222"/>
      <c r="F11" s="427"/>
      <c r="G11" s="427"/>
      <c r="H11" s="125"/>
      <c r="I11" s="122"/>
      <c r="J11" s="122"/>
      <c r="K11" s="122"/>
      <c r="M11" s="133"/>
      <c r="N11" s="122"/>
      <c r="O11" s="122"/>
      <c r="P11" s="122"/>
      <c r="Q11" s="122"/>
    </row>
    <row r="12" spans="1:18" ht="18">
      <c r="A12" s="103"/>
      <c r="B12" s="577" t="s">
        <v>131</v>
      </c>
      <c r="C12" s="577"/>
      <c r="D12" s="577"/>
      <c r="E12" s="578"/>
      <c r="F12" s="578"/>
      <c r="G12" s="578"/>
      <c r="H12" s="173"/>
      <c r="I12" s="551" t="s">
        <v>87</v>
      </c>
      <c r="J12" s="572"/>
      <c r="K12" s="572"/>
      <c r="L12" s="573"/>
      <c r="M12" s="133"/>
      <c r="N12" s="551" t="s">
        <v>330</v>
      </c>
      <c r="O12" s="552"/>
      <c r="P12" s="552"/>
      <c r="Q12" s="553"/>
    </row>
    <row r="13" spans="1:18" ht="47.25">
      <c r="A13" s="103"/>
      <c r="B13" s="186" t="s">
        <v>99</v>
      </c>
      <c r="C13" s="224" t="s">
        <v>132</v>
      </c>
      <c r="D13" s="224" t="s">
        <v>37</v>
      </c>
      <c r="E13" s="250" t="s">
        <v>100</v>
      </c>
      <c r="F13" s="428" t="s">
        <v>47</v>
      </c>
      <c r="G13" s="428" t="s">
        <v>101</v>
      </c>
      <c r="H13" s="126"/>
      <c r="I13" s="127" t="s">
        <v>102</v>
      </c>
      <c r="J13" s="127" t="s">
        <v>127</v>
      </c>
      <c r="K13" s="128" t="s">
        <v>89</v>
      </c>
      <c r="L13" s="129" t="s">
        <v>104</v>
      </c>
      <c r="M13" s="133"/>
      <c r="N13" s="127" t="s">
        <v>105</v>
      </c>
      <c r="O13" s="127" t="s">
        <v>128</v>
      </c>
      <c r="P13" s="129" t="s">
        <v>89</v>
      </c>
      <c r="Q13" s="129" t="s">
        <v>331</v>
      </c>
    </row>
    <row r="14" spans="1:18" ht="126.75" customHeight="1">
      <c r="B14" s="251" t="s">
        <v>389</v>
      </c>
      <c r="C14" s="252" t="s">
        <v>390</v>
      </c>
      <c r="D14" s="253" t="s">
        <v>449</v>
      </c>
      <c r="E14" s="521">
        <v>1</v>
      </c>
      <c r="F14" s="463"/>
      <c r="G14" s="307">
        <f>E14*F14</f>
        <v>0</v>
      </c>
      <c r="H14" s="130"/>
      <c r="I14" s="28"/>
      <c r="J14" s="131">
        <f>I14*F14</f>
        <v>0</v>
      </c>
      <c r="K14" s="132" t="str">
        <f>IF(J14=0,"",IF(OR(J14-$G14&gt;0,J14-$G14&lt;0),(J14-$G14)/$G14,""))</f>
        <v/>
      </c>
      <c r="L14" s="29"/>
      <c r="M14" s="120"/>
      <c r="N14" s="94">
        <f>I14</f>
        <v>0</v>
      </c>
      <c r="O14" s="134">
        <f>N14*F14</f>
        <v>0</v>
      </c>
      <c r="P14" s="132" t="str">
        <f>IFERROR(IF(O14=0,"",IF(OR(O14-$G14&gt;0,O14-$G14&lt;0),(O14-$G14)/$G14,"")),"")</f>
        <v/>
      </c>
      <c r="Q14" s="30"/>
    </row>
    <row r="15" spans="1:18" ht="129" customHeight="1">
      <c r="B15" s="251" t="s">
        <v>391</v>
      </c>
      <c r="C15" s="254" t="s">
        <v>430</v>
      </c>
      <c r="D15" s="254" t="s">
        <v>432</v>
      </c>
      <c r="E15" s="521">
        <v>1</v>
      </c>
      <c r="F15" s="463"/>
      <c r="G15" s="307">
        <f t="shared" ref="G15:G24" si="0">E15*F15</f>
        <v>0</v>
      </c>
      <c r="H15" s="130"/>
      <c r="I15" s="28"/>
      <c r="J15" s="131">
        <f t="shared" ref="J15:J24" si="1">I15*F15</f>
        <v>0</v>
      </c>
      <c r="K15" s="132" t="str">
        <f t="shared" ref="K15:K24" si="2">IF(J15=0,"",IF(OR(J15-$G15&gt;0,J15-$G15&lt;0),(J15-$G15)/$G15,""))</f>
        <v/>
      </c>
      <c r="L15" s="29"/>
      <c r="M15" s="121"/>
      <c r="N15" s="94">
        <f t="shared" ref="N15:N24" si="3">I15</f>
        <v>0</v>
      </c>
      <c r="O15" s="134">
        <f t="shared" ref="O15:O24" si="4">N15*F15</f>
        <v>0</v>
      </c>
      <c r="P15" s="132" t="str">
        <f t="shared" ref="P15:P24" si="5">IFERROR(IF(O15=0,"",IF(OR(O15-$G15&gt;0,O15-$G15&lt;0),(O15-$G15)/$G15,"")),"")</f>
        <v/>
      </c>
      <c r="Q15" s="30"/>
    </row>
    <row r="16" spans="1:18" ht="30">
      <c r="B16" s="251" t="s">
        <v>392</v>
      </c>
      <c r="C16" s="254" t="s">
        <v>430</v>
      </c>
      <c r="D16" s="254"/>
      <c r="E16" s="521">
        <v>12</v>
      </c>
      <c r="F16" s="463"/>
      <c r="G16" s="307">
        <f t="shared" si="0"/>
        <v>0</v>
      </c>
      <c r="H16" s="130"/>
      <c r="I16" s="28"/>
      <c r="J16" s="131">
        <f t="shared" si="1"/>
        <v>0</v>
      </c>
      <c r="K16" s="132" t="str">
        <f t="shared" si="2"/>
        <v/>
      </c>
      <c r="L16" s="29"/>
      <c r="M16" s="121"/>
      <c r="N16" s="94">
        <f t="shared" si="3"/>
        <v>0</v>
      </c>
      <c r="O16" s="134">
        <f t="shared" si="4"/>
        <v>0</v>
      </c>
      <c r="P16" s="132" t="str">
        <f t="shared" si="5"/>
        <v/>
      </c>
      <c r="Q16" s="30"/>
    </row>
    <row r="17" spans="2:17" ht="30">
      <c r="B17" s="251" t="s">
        <v>393</v>
      </c>
      <c r="C17" s="254" t="s">
        <v>430</v>
      </c>
      <c r="D17" s="254"/>
      <c r="E17" s="521">
        <v>2</v>
      </c>
      <c r="F17" s="463"/>
      <c r="G17" s="307">
        <f t="shared" si="0"/>
        <v>0</v>
      </c>
      <c r="H17" s="130"/>
      <c r="I17" s="28"/>
      <c r="J17" s="131">
        <f t="shared" si="1"/>
        <v>0</v>
      </c>
      <c r="K17" s="132" t="str">
        <f t="shared" si="2"/>
        <v/>
      </c>
      <c r="L17" s="29"/>
      <c r="M17" s="121"/>
      <c r="N17" s="94">
        <f t="shared" si="3"/>
        <v>0</v>
      </c>
      <c r="O17" s="134">
        <f t="shared" si="4"/>
        <v>0</v>
      </c>
      <c r="P17" s="132" t="str">
        <f t="shared" si="5"/>
        <v/>
      </c>
      <c r="Q17" s="30"/>
    </row>
    <row r="18" spans="2:17" ht="30">
      <c r="B18" s="251" t="s">
        <v>394</v>
      </c>
      <c r="C18" s="254" t="s">
        <v>430</v>
      </c>
      <c r="D18" s="254"/>
      <c r="E18" s="521">
        <v>2</v>
      </c>
      <c r="F18" s="463"/>
      <c r="G18" s="307">
        <f t="shared" si="0"/>
        <v>0</v>
      </c>
      <c r="H18" s="130"/>
      <c r="I18" s="28"/>
      <c r="J18" s="131">
        <f t="shared" si="1"/>
        <v>0</v>
      </c>
      <c r="K18" s="132" t="str">
        <f t="shared" si="2"/>
        <v/>
      </c>
      <c r="L18" s="29"/>
      <c r="M18" s="121"/>
      <c r="N18" s="94">
        <f t="shared" si="3"/>
        <v>0</v>
      </c>
      <c r="O18" s="134">
        <f t="shared" si="4"/>
        <v>0</v>
      </c>
      <c r="P18" s="132" t="str">
        <f t="shared" si="5"/>
        <v/>
      </c>
      <c r="Q18" s="30"/>
    </row>
    <row r="19" spans="2:17" ht="75">
      <c r="B19" s="251" t="s">
        <v>395</v>
      </c>
      <c r="C19" s="252" t="s">
        <v>396</v>
      </c>
      <c r="D19" s="253" t="s">
        <v>397</v>
      </c>
      <c r="E19" s="521">
        <v>1</v>
      </c>
      <c r="F19" s="463"/>
      <c r="G19" s="307">
        <f t="shared" si="0"/>
        <v>0</v>
      </c>
      <c r="H19" s="130"/>
      <c r="I19" s="28"/>
      <c r="J19" s="131">
        <f t="shared" si="1"/>
        <v>0</v>
      </c>
      <c r="K19" s="132" t="str">
        <f t="shared" si="2"/>
        <v/>
      </c>
      <c r="L19" s="29"/>
      <c r="M19" s="121"/>
      <c r="N19" s="94">
        <f t="shared" si="3"/>
        <v>0</v>
      </c>
      <c r="O19" s="134">
        <f t="shared" si="4"/>
        <v>0</v>
      </c>
      <c r="P19" s="132" t="str">
        <f t="shared" si="5"/>
        <v/>
      </c>
      <c r="Q19" s="30"/>
    </row>
    <row r="20" spans="2:17" ht="45">
      <c r="B20" s="251" t="s">
        <v>38</v>
      </c>
      <c r="C20" s="254" t="s">
        <v>398</v>
      </c>
      <c r="D20" s="253" t="s">
        <v>399</v>
      </c>
      <c r="E20" s="521">
        <v>3</v>
      </c>
      <c r="F20" s="463"/>
      <c r="G20" s="307">
        <f t="shared" si="0"/>
        <v>0</v>
      </c>
      <c r="H20" s="130"/>
      <c r="I20" s="28"/>
      <c r="J20" s="131">
        <f t="shared" si="1"/>
        <v>0</v>
      </c>
      <c r="K20" s="132" t="str">
        <f t="shared" si="2"/>
        <v/>
      </c>
      <c r="L20" s="29"/>
      <c r="M20" s="121"/>
      <c r="N20" s="94">
        <f t="shared" si="3"/>
        <v>0</v>
      </c>
      <c r="O20" s="134">
        <f t="shared" si="4"/>
        <v>0</v>
      </c>
      <c r="P20" s="132" t="str">
        <f t="shared" si="5"/>
        <v/>
      </c>
      <c r="Q20" s="30"/>
    </row>
    <row r="21" spans="2:17" ht="30">
      <c r="B21" s="255" t="s">
        <v>400</v>
      </c>
      <c r="C21" s="255" t="s">
        <v>401</v>
      </c>
      <c r="D21" s="255" t="s">
        <v>402</v>
      </c>
      <c r="E21" s="521">
        <v>1</v>
      </c>
      <c r="F21" s="463"/>
      <c r="G21" s="307">
        <f t="shared" si="0"/>
        <v>0</v>
      </c>
      <c r="H21" s="130"/>
      <c r="I21" s="28"/>
      <c r="J21" s="131">
        <f t="shared" si="1"/>
        <v>0</v>
      </c>
      <c r="K21" s="132" t="str">
        <f t="shared" si="2"/>
        <v/>
      </c>
      <c r="L21" s="29"/>
      <c r="M21" s="121"/>
      <c r="N21" s="94">
        <f t="shared" si="3"/>
        <v>0</v>
      </c>
      <c r="O21" s="134">
        <f t="shared" si="4"/>
        <v>0</v>
      </c>
      <c r="P21" s="132" t="str">
        <f t="shared" si="5"/>
        <v/>
      </c>
      <c r="Q21" s="30"/>
    </row>
    <row r="22" spans="2:17" ht="45">
      <c r="B22" s="226" t="s">
        <v>431</v>
      </c>
      <c r="C22" s="227" t="s">
        <v>430</v>
      </c>
      <c r="D22" s="464" t="s">
        <v>447</v>
      </c>
      <c r="E22" s="522"/>
      <c r="F22" s="463"/>
      <c r="G22" s="307">
        <f t="shared" si="0"/>
        <v>0</v>
      </c>
      <c r="H22" s="130"/>
      <c r="I22" s="28"/>
      <c r="J22" s="131">
        <f t="shared" si="1"/>
        <v>0</v>
      </c>
      <c r="K22" s="132" t="str">
        <f t="shared" si="2"/>
        <v/>
      </c>
      <c r="L22" s="29"/>
      <c r="M22" s="121"/>
      <c r="N22" s="94">
        <f t="shared" si="3"/>
        <v>0</v>
      </c>
      <c r="O22" s="134">
        <f t="shared" si="4"/>
        <v>0</v>
      </c>
      <c r="P22" s="132" t="str">
        <f t="shared" si="5"/>
        <v/>
      </c>
      <c r="Q22" s="30"/>
    </row>
    <row r="23" spans="2:17" ht="45">
      <c r="B23" s="251" t="s">
        <v>403</v>
      </c>
      <c r="C23" s="252" t="s">
        <v>404</v>
      </c>
      <c r="D23" s="252" t="s">
        <v>405</v>
      </c>
      <c r="E23" s="521">
        <v>1</v>
      </c>
      <c r="F23" s="463"/>
      <c r="G23" s="307">
        <f t="shared" si="0"/>
        <v>0</v>
      </c>
      <c r="H23" s="130"/>
      <c r="I23" s="28"/>
      <c r="J23" s="131">
        <f t="shared" si="1"/>
        <v>0</v>
      </c>
      <c r="K23" s="132" t="str">
        <f t="shared" si="2"/>
        <v/>
      </c>
      <c r="L23" s="29"/>
      <c r="M23" s="121"/>
      <c r="N23" s="94">
        <f t="shared" si="3"/>
        <v>0</v>
      </c>
      <c r="O23" s="134">
        <f t="shared" si="4"/>
        <v>0</v>
      </c>
      <c r="P23" s="132" t="str">
        <f t="shared" si="5"/>
        <v/>
      </c>
      <c r="Q23" s="30"/>
    </row>
    <row r="24" spans="2:17" ht="30">
      <c r="B24" s="251" t="s">
        <v>429</v>
      </c>
      <c r="C24" s="252" t="s">
        <v>39</v>
      </c>
      <c r="D24" s="252" t="s">
        <v>406</v>
      </c>
      <c r="E24" s="521">
        <v>1</v>
      </c>
      <c r="F24" s="463"/>
      <c r="G24" s="307">
        <f t="shared" si="0"/>
        <v>0</v>
      </c>
      <c r="H24" s="130"/>
      <c r="I24" s="28"/>
      <c r="J24" s="131">
        <f t="shared" si="1"/>
        <v>0</v>
      </c>
      <c r="K24" s="132" t="str">
        <f t="shared" si="2"/>
        <v/>
      </c>
      <c r="L24" s="29"/>
      <c r="M24" s="121"/>
      <c r="N24" s="94">
        <f t="shared" si="3"/>
        <v>0</v>
      </c>
      <c r="O24" s="134">
        <f t="shared" si="4"/>
        <v>0</v>
      </c>
      <c r="P24" s="132" t="str">
        <f t="shared" si="5"/>
        <v/>
      </c>
      <c r="Q24" s="30"/>
    </row>
    <row r="25" spans="2:17" ht="18">
      <c r="B25" s="443"/>
      <c r="C25" s="444"/>
      <c r="D25" s="444"/>
      <c r="E25" s="445"/>
      <c r="F25" s="446"/>
      <c r="G25" s="446"/>
      <c r="H25" s="444"/>
      <c r="I25" s="447" t="s">
        <v>9</v>
      </c>
      <c r="J25" s="448">
        <f>SUM(J14:J24)</f>
        <v>0</v>
      </c>
      <c r="K25" s="552"/>
      <c r="L25" s="553"/>
      <c r="M25" s="444"/>
      <c r="N25" s="400"/>
      <c r="O25" s="448">
        <f>SUM(O14:O24)</f>
        <v>0</v>
      </c>
      <c r="P25" s="552"/>
      <c r="Q25" s="553"/>
    </row>
  </sheetData>
  <sheetProtection algorithmName="SHA-512" hashValue="842DahH5Kf2TQz4La9T1LVWB52Aw3K/GdNOBBZMKibujdCeFvlCA2nbyYAdVzQ4IRDOHksWw/XpnJxNDap8QFA==" saltValue="KJKMVfibZqh0GSuSs5EabA==" spinCount="100000" sheet="1" autoFilter="0"/>
  <autoFilter ref="B13:D13" xr:uid="{00000000-0009-0000-0000-000005000000}"/>
  <mergeCells count="13">
    <mergeCell ref="B2:Q2"/>
    <mergeCell ref="I12:L12"/>
    <mergeCell ref="N12:Q12"/>
    <mergeCell ref="B3:Q3"/>
    <mergeCell ref="K25:L25"/>
    <mergeCell ref="P25:Q25"/>
    <mergeCell ref="B12:G12"/>
    <mergeCell ref="B4:Q4"/>
    <mergeCell ref="B5:Q5"/>
    <mergeCell ref="B6:Q6"/>
    <mergeCell ref="B7:Q7"/>
    <mergeCell ref="B8:Q8"/>
    <mergeCell ref="B9:Q9"/>
  </mergeCells>
  <conditionalFormatting sqref="K14:K24">
    <cfRule type="cellIs" dxfId="11" priority="2" operator="greaterThan">
      <formula>0</formula>
    </cfRule>
  </conditionalFormatting>
  <conditionalFormatting sqref="P14:P24">
    <cfRule type="cellIs" dxfId="10" priority="1" operator="greaterThan">
      <formula>0</formula>
    </cfRule>
  </conditionalFormatting>
  <pageMargins left="0.7" right="0.7" top="0.75" bottom="0.75" header="0.3" footer="0.3"/>
  <pageSetup paperSize="9" scale="52"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גיליון11"/>
  <dimension ref="A1:O87"/>
  <sheetViews>
    <sheetView showGridLines="0" rightToLeft="1" workbookViewId="0">
      <selection activeCell="G14" sqref="G14"/>
    </sheetView>
  </sheetViews>
  <sheetFormatPr defaultColWidth="9" defaultRowHeight="14.25"/>
  <cols>
    <col min="1" max="1" width="3" style="256" customWidth="1"/>
    <col min="2" max="2" width="56.625" style="256" customWidth="1"/>
    <col min="3" max="3" width="12.625" style="256" customWidth="1"/>
    <col min="4" max="4" width="15.25" style="256" customWidth="1"/>
    <col min="5" max="5" width="15.625" style="256" customWidth="1"/>
    <col min="6" max="6" width="10.25" style="256" customWidth="1"/>
    <col min="7" max="7" width="15.625" style="256" customWidth="1"/>
    <col min="8" max="8" width="16.875" style="256" customWidth="1"/>
    <col min="9" max="9" width="9" style="256"/>
    <col min="10" max="10" width="12.875" style="256" customWidth="1"/>
    <col min="11" max="11" width="9" style="256"/>
    <col min="12" max="12" width="12" style="256" customWidth="1"/>
    <col min="13" max="13" width="14.875" style="256" customWidth="1"/>
    <col min="14" max="14" width="9" style="256"/>
    <col min="15" max="15" width="14.625" style="257" customWidth="1"/>
    <col min="16" max="16384" width="9" style="135"/>
  </cols>
  <sheetData>
    <row r="1" spans="1:15" ht="15" thickBot="1"/>
    <row r="2" spans="1:15" ht="24.95" customHeight="1" thickBot="1">
      <c r="B2" s="593" t="s">
        <v>133</v>
      </c>
      <c r="C2" s="594"/>
      <c r="D2" s="594"/>
      <c r="E2" s="594"/>
      <c r="F2" s="594"/>
      <c r="G2" s="594"/>
      <c r="H2" s="594"/>
      <c r="I2" s="594"/>
      <c r="J2" s="594"/>
      <c r="K2" s="594"/>
      <c r="L2" s="594"/>
      <c r="M2" s="594"/>
      <c r="N2" s="594"/>
      <c r="O2" s="595"/>
    </row>
    <row r="3" spans="1:15" ht="24.95" customHeight="1" thickBot="1">
      <c r="A3" s="347"/>
      <c r="B3" s="596" t="s">
        <v>92</v>
      </c>
      <c r="C3" s="596"/>
      <c r="D3" s="596"/>
      <c r="E3" s="596"/>
      <c r="F3" s="596"/>
      <c r="G3" s="596"/>
      <c r="H3" s="596"/>
      <c r="I3" s="596"/>
      <c r="J3" s="596"/>
      <c r="K3" s="596"/>
      <c r="L3" s="596"/>
      <c r="M3" s="596"/>
      <c r="N3" s="596"/>
      <c r="O3" s="596"/>
    </row>
    <row r="4" spans="1:15" ht="15">
      <c r="A4" s="274"/>
      <c r="B4" s="137" t="s">
        <v>164</v>
      </c>
      <c r="C4" s="258"/>
      <c r="D4" s="258"/>
      <c r="E4" s="258"/>
      <c r="F4" s="258"/>
      <c r="G4" s="258"/>
      <c r="H4" s="259"/>
      <c r="I4" s="258"/>
      <c r="J4" s="258"/>
      <c r="K4" s="258"/>
      <c r="L4" s="258"/>
      <c r="M4" s="258"/>
      <c r="N4" s="258"/>
      <c r="O4" s="260"/>
    </row>
    <row r="5" spans="1:15" ht="15">
      <c r="A5" s="274"/>
      <c r="B5" s="111" t="s">
        <v>345</v>
      </c>
      <c r="C5" s="345"/>
      <c r="D5" s="345"/>
      <c r="E5" s="345"/>
      <c r="F5" s="345"/>
      <c r="G5" s="345"/>
      <c r="H5" s="346"/>
      <c r="I5" s="345"/>
      <c r="J5" s="345"/>
      <c r="K5" s="345"/>
      <c r="L5" s="345"/>
      <c r="M5" s="345"/>
      <c r="N5" s="345"/>
      <c r="O5" s="261"/>
    </row>
    <row r="6" spans="1:15" ht="15.75">
      <c r="A6" s="274"/>
      <c r="B6" s="143" t="s">
        <v>457</v>
      </c>
      <c r="C6" s="345"/>
      <c r="D6" s="345"/>
      <c r="E6" s="345"/>
      <c r="F6" s="345"/>
      <c r="G6" s="345"/>
      <c r="H6" s="346"/>
      <c r="I6" s="345"/>
      <c r="J6" s="345"/>
      <c r="K6" s="345"/>
      <c r="L6" s="345"/>
      <c r="M6" s="345"/>
      <c r="N6" s="345"/>
      <c r="O6" s="261"/>
    </row>
    <row r="7" spans="1:15" ht="15">
      <c r="A7" s="274"/>
      <c r="B7" s="143" t="s">
        <v>75</v>
      </c>
      <c r="C7" s="345"/>
      <c r="D7" s="345"/>
      <c r="E7" s="345"/>
      <c r="F7" s="345"/>
      <c r="G7" s="345"/>
      <c r="H7" s="346"/>
      <c r="I7" s="345"/>
      <c r="J7" s="345"/>
      <c r="K7" s="345"/>
      <c r="L7" s="345"/>
      <c r="M7" s="345"/>
      <c r="N7" s="345"/>
      <c r="O7" s="261"/>
    </row>
    <row r="8" spans="1:15" ht="15.75">
      <c r="A8" s="274"/>
      <c r="B8" s="143" t="s">
        <v>347</v>
      </c>
      <c r="C8" s="345"/>
      <c r="D8" s="345"/>
      <c r="E8" s="345"/>
      <c r="F8" s="345"/>
      <c r="G8" s="345"/>
      <c r="H8" s="346"/>
      <c r="I8" s="345"/>
      <c r="J8" s="345"/>
      <c r="K8" s="345"/>
      <c r="L8" s="345"/>
      <c r="M8" s="345"/>
      <c r="N8" s="345"/>
      <c r="O8" s="261"/>
    </row>
    <row r="9" spans="1:15" ht="16.5" thickBot="1">
      <c r="A9" s="274"/>
      <c r="B9" s="144" t="s">
        <v>348</v>
      </c>
      <c r="C9" s="262"/>
      <c r="D9" s="262"/>
      <c r="E9" s="262"/>
      <c r="F9" s="262"/>
      <c r="G9" s="262"/>
      <c r="H9" s="263"/>
      <c r="I9" s="262"/>
      <c r="J9" s="262"/>
      <c r="K9" s="262"/>
      <c r="L9" s="262"/>
      <c r="M9" s="262"/>
      <c r="N9" s="262"/>
      <c r="O9" s="264"/>
    </row>
    <row r="10" spans="1:15" ht="18">
      <c r="A10" s="136"/>
      <c r="B10" s="265"/>
      <c r="C10" s="265"/>
      <c r="D10" s="265"/>
      <c r="E10" s="265"/>
      <c r="F10" s="148"/>
      <c r="G10" s="148"/>
      <c r="H10" s="136"/>
      <c r="I10" s="136"/>
      <c r="J10" s="136"/>
      <c r="K10" s="136"/>
      <c r="L10" s="136"/>
      <c r="M10" s="136"/>
      <c r="N10" s="136"/>
      <c r="O10" s="266"/>
    </row>
    <row r="11" spans="1:15" ht="18" customHeight="1">
      <c r="B11" s="551" t="s">
        <v>117</v>
      </c>
      <c r="C11" s="552"/>
      <c r="D11" s="552"/>
      <c r="E11" s="553"/>
      <c r="F11" s="149"/>
      <c r="G11" s="551" t="s">
        <v>87</v>
      </c>
      <c r="H11" s="552"/>
      <c r="I11" s="552"/>
      <c r="J11" s="553"/>
      <c r="K11" s="17"/>
      <c r="L11" s="551" t="s">
        <v>330</v>
      </c>
      <c r="M11" s="552"/>
      <c r="N11" s="552"/>
      <c r="O11" s="553"/>
    </row>
    <row r="12" spans="1:15" ht="31.5">
      <c r="B12" s="267" t="s">
        <v>99</v>
      </c>
      <c r="C12" s="63" t="s">
        <v>100</v>
      </c>
      <c r="D12" s="63" t="s">
        <v>47</v>
      </c>
      <c r="E12" s="63" t="s">
        <v>101</v>
      </c>
      <c r="F12" s="64"/>
      <c r="G12" s="65" t="s">
        <v>102</v>
      </c>
      <c r="H12" s="268" t="s">
        <v>127</v>
      </c>
      <c r="I12" s="66" t="s">
        <v>89</v>
      </c>
      <c r="J12" s="63" t="s">
        <v>104</v>
      </c>
      <c r="K12" s="17"/>
      <c r="L12" s="65" t="s">
        <v>105</v>
      </c>
      <c r="M12" s="65" t="s">
        <v>128</v>
      </c>
      <c r="N12" s="63" t="s">
        <v>89</v>
      </c>
      <c r="O12" s="63" t="s">
        <v>328</v>
      </c>
    </row>
    <row r="13" spans="1:15" ht="15.75" customHeight="1">
      <c r="B13" s="590" t="s">
        <v>118</v>
      </c>
      <c r="C13" s="591"/>
      <c r="D13" s="591"/>
      <c r="E13" s="592"/>
      <c r="F13" s="64"/>
      <c r="G13" s="590" t="s">
        <v>118</v>
      </c>
      <c r="H13" s="591"/>
      <c r="I13" s="591"/>
      <c r="J13" s="592"/>
      <c r="K13" s="17"/>
      <c r="L13" s="590" t="s">
        <v>118</v>
      </c>
      <c r="M13" s="591"/>
      <c r="N13" s="591"/>
      <c r="O13" s="592"/>
    </row>
    <row r="14" spans="1:15" ht="15.75">
      <c r="B14" s="269" t="s">
        <v>48</v>
      </c>
      <c r="C14" s="270">
        <v>1</v>
      </c>
      <c r="D14" s="270">
        <v>6000</v>
      </c>
      <c r="E14" s="134">
        <f>D14*C14</f>
        <v>6000</v>
      </c>
      <c r="F14" s="64"/>
      <c r="G14" s="67"/>
      <c r="H14" s="150">
        <f>IFERROR(G14*D14,"")</f>
        <v>0</v>
      </c>
      <c r="I14" s="151" t="str">
        <f t="shared" ref="I14:I21" si="0">IF(H14=0,"",IF(OR(H14-$E14&gt;0,H14-$E14&lt;0),(H14-$E14)/$E14,""))</f>
        <v/>
      </c>
      <c r="J14" s="68"/>
      <c r="K14" s="17"/>
      <c r="L14" s="98">
        <f>G14</f>
        <v>0</v>
      </c>
      <c r="M14" s="150">
        <f>IFERROR(L14*D14,"")</f>
        <v>0</v>
      </c>
      <c r="N14" s="151" t="str">
        <f>IFERROR(IF(M14=0,"",IF(OR(M14-$E14&gt;0,M14-$E14&lt;0),(M14-$E14)/$E14,"")),"")</f>
        <v/>
      </c>
      <c r="O14" s="69"/>
    </row>
    <row r="15" spans="1:15" ht="15.75" customHeight="1">
      <c r="B15" s="271" t="s">
        <v>434</v>
      </c>
      <c r="C15" s="270">
        <v>1</v>
      </c>
      <c r="D15" s="270">
        <v>6000</v>
      </c>
      <c r="E15" s="134">
        <f>D15*C15</f>
        <v>6000</v>
      </c>
      <c r="F15" s="64"/>
      <c r="G15" s="67"/>
      <c r="H15" s="150">
        <f t="shared" ref="H15:H21" si="1">IFERROR(G15*D15,"")</f>
        <v>0</v>
      </c>
      <c r="I15" s="151" t="str">
        <f t="shared" si="0"/>
        <v/>
      </c>
      <c r="J15" s="68"/>
      <c r="K15" s="17"/>
      <c r="L15" s="98">
        <f t="shared" ref="L15:L21" si="2">G15</f>
        <v>0</v>
      </c>
      <c r="M15" s="150">
        <f t="shared" ref="M15:M21" si="3">IFERROR(L15*D15,"")</f>
        <v>0</v>
      </c>
      <c r="N15" s="151" t="str">
        <f t="shared" ref="N15:N69" si="4">IFERROR(IF(M15=0,"",IF(OR(M15-$E15&gt;0,M15-$E15&lt;0),(M15-$E15)/$E15,"")),"")</f>
        <v/>
      </c>
      <c r="O15" s="69"/>
    </row>
    <row r="16" spans="1:15" ht="15.75">
      <c r="B16" s="271" t="s">
        <v>49</v>
      </c>
      <c r="C16" s="270">
        <v>1</v>
      </c>
      <c r="D16" s="270">
        <v>1500</v>
      </c>
      <c r="E16" s="134">
        <f>D16*C16</f>
        <v>1500</v>
      </c>
      <c r="F16" s="64"/>
      <c r="G16" s="67"/>
      <c r="H16" s="150">
        <f t="shared" si="1"/>
        <v>0</v>
      </c>
      <c r="I16" s="151" t="str">
        <f t="shared" si="0"/>
        <v/>
      </c>
      <c r="J16" s="68"/>
      <c r="K16" s="17"/>
      <c r="L16" s="98">
        <f t="shared" si="2"/>
        <v>0</v>
      </c>
      <c r="M16" s="150">
        <f t="shared" si="3"/>
        <v>0</v>
      </c>
      <c r="N16" s="151" t="str">
        <f t="shared" si="4"/>
        <v/>
      </c>
      <c r="O16" s="69"/>
    </row>
    <row r="17" spans="2:15" ht="18" customHeight="1">
      <c r="B17" s="271" t="s">
        <v>98</v>
      </c>
      <c r="C17" s="270">
        <v>5</v>
      </c>
      <c r="D17" s="270">
        <v>300</v>
      </c>
      <c r="E17" s="134">
        <f t="shared" ref="E17:E21" si="5">D17*C17</f>
        <v>1500</v>
      </c>
      <c r="F17" s="64"/>
      <c r="G17" s="67"/>
      <c r="H17" s="150">
        <f t="shared" si="1"/>
        <v>0</v>
      </c>
      <c r="I17" s="151" t="str">
        <f t="shared" si="0"/>
        <v/>
      </c>
      <c r="J17" s="68"/>
      <c r="K17" s="17"/>
      <c r="L17" s="98">
        <f t="shared" si="2"/>
        <v>0</v>
      </c>
      <c r="M17" s="150">
        <f t="shared" si="3"/>
        <v>0</v>
      </c>
      <c r="N17" s="151" t="str">
        <f t="shared" si="4"/>
        <v/>
      </c>
      <c r="O17" s="69"/>
    </row>
    <row r="18" spans="2:15" ht="15.75">
      <c r="B18" s="271" t="s">
        <v>50</v>
      </c>
      <c r="C18" s="270">
        <v>1</v>
      </c>
      <c r="D18" s="270">
        <v>400</v>
      </c>
      <c r="E18" s="134">
        <f t="shared" si="5"/>
        <v>400</v>
      </c>
      <c r="F18" s="64"/>
      <c r="G18" s="67"/>
      <c r="H18" s="150">
        <f t="shared" si="1"/>
        <v>0</v>
      </c>
      <c r="I18" s="151" t="str">
        <f t="shared" si="0"/>
        <v/>
      </c>
      <c r="J18" s="68"/>
      <c r="K18" s="17"/>
      <c r="L18" s="98">
        <f t="shared" si="2"/>
        <v>0</v>
      </c>
      <c r="M18" s="150">
        <f t="shared" si="3"/>
        <v>0</v>
      </c>
      <c r="N18" s="151" t="str">
        <f t="shared" si="4"/>
        <v/>
      </c>
      <c r="O18" s="69"/>
    </row>
    <row r="19" spans="2:15" ht="15.75">
      <c r="B19" s="271" t="s">
        <v>14</v>
      </c>
      <c r="C19" s="270">
        <v>1</v>
      </c>
      <c r="D19" s="270">
        <v>700</v>
      </c>
      <c r="E19" s="134">
        <f t="shared" si="5"/>
        <v>700</v>
      </c>
      <c r="F19" s="64"/>
      <c r="G19" s="67"/>
      <c r="H19" s="150">
        <f t="shared" si="1"/>
        <v>0</v>
      </c>
      <c r="I19" s="151" t="str">
        <f t="shared" si="0"/>
        <v/>
      </c>
      <c r="J19" s="68"/>
      <c r="K19" s="17"/>
      <c r="L19" s="98">
        <f t="shared" si="2"/>
        <v>0</v>
      </c>
      <c r="M19" s="150">
        <f t="shared" si="3"/>
        <v>0</v>
      </c>
      <c r="N19" s="151"/>
      <c r="O19" s="69"/>
    </row>
    <row r="20" spans="2:15" ht="15.75">
      <c r="B20" s="271" t="s">
        <v>51</v>
      </c>
      <c r="C20" s="270">
        <v>1</v>
      </c>
      <c r="D20" s="270">
        <v>3500</v>
      </c>
      <c r="E20" s="134">
        <f t="shared" si="5"/>
        <v>3500</v>
      </c>
      <c r="F20" s="64"/>
      <c r="G20" s="67"/>
      <c r="H20" s="150">
        <f t="shared" si="1"/>
        <v>0</v>
      </c>
      <c r="I20" s="151" t="str">
        <f t="shared" si="0"/>
        <v/>
      </c>
      <c r="J20" s="68"/>
      <c r="K20" s="17"/>
      <c r="L20" s="98">
        <f t="shared" si="2"/>
        <v>0</v>
      </c>
      <c r="M20" s="150">
        <f t="shared" si="3"/>
        <v>0</v>
      </c>
      <c r="N20" s="151" t="str">
        <f t="shared" si="4"/>
        <v/>
      </c>
      <c r="O20" s="69"/>
    </row>
    <row r="21" spans="2:15" ht="15.75">
      <c r="B21" s="271" t="s">
        <v>52</v>
      </c>
      <c r="C21" s="270">
        <v>1</v>
      </c>
      <c r="D21" s="270">
        <v>2100</v>
      </c>
      <c r="E21" s="134">
        <f t="shared" si="5"/>
        <v>2100</v>
      </c>
      <c r="F21" s="64"/>
      <c r="G21" s="67"/>
      <c r="H21" s="150">
        <f t="shared" si="1"/>
        <v>0</v>
      </c>
      <c r="I21" s="151" t="str">
        <f t="shared" si="0"/>
        <v/>
      </c>
      <c r="J21" s="68"/>
      <c r="K21" s="17"/>
      <c r="L21" s="98">
        <f t="shared" si="2"/>
        <v>0</v>
      </c>
      <c r="M21" s="150">
        <f t="shared" si="3"/>
        <v>0</v>
      </c>
      <c r="N21" s="151" t="str">
        <f t="shared" si="4"/>
        <v/>
      </c>
      <c r="O21" s="69"/>
    </row>
    <row r="22" spans="2:15" ht="15.75" customHeight="1">
      <c r="B22" s="590" t="s">
        <v>53</v>
      </c>
      <c r="C22" s="591"/>
      <c r="D22" s="591"/>
      <c r="E22" s="592"/>
      <c r="F22" s="64"/>
      <c r="G22" s="590" t="s">
        <v>53</v>
      </c>
      <c r="H22" s="591"/>
      <c r="I22" s="591"/>
      <c r="J22" s="592"/>
      <c r="K22" s="17"/>
      <c r="L22" s="590" t="s">
        <v>53</v>
      </c>
      <c r="M22" s="591"/>
      <c r="N22" s="591"/>
      <c r="O22" s="592"/>
    </row>
    <row r="23" spans="2:15" ht="15.75">
      <c r="B23" s="271" t="s">
        <v>94</v>
      </c>
      <c r="C23" s="270">
        <v>1</v>
      </c>
      <c r="D23" s="270">
        <v>2100</v>
      </c>
      <c r="E23" s="134">
        <f t="shared" ref="E23:E46" si="6">D23*C23</f>
        <v>2100</v>
      </c>
      <c r="F23" s="64"/>
      <c r="G23" s="67"/>
      <c r="H23" s="150">
        <f t="shared" ref="H23:H69" si="7">IFERROR(G23*D23,"")</f>
        <v>0</v>
      </c>
      <c r="I23" s="151" t="str">
        <f t="shared" ref="I23:I46" si="8">IF(H23=0,"",IF(OR(H23-$E23&gt;0,H23-$E23&lt;0),(H23-$E23)/$E23,""))</f>
        <v/>
      </c>
      <c r="J23" s="68"/>
      <c r="K23" s="17"/>
      <c r="L23" s="98">
        <f t="shared" ref="L23:L46" si="9">G23</f>
        <v>0</v>
      </c>
      <c r="M23" s="150">
        <f t="shared" ref="M23:M46" si="10">IFERROR(L23*D23,"")</f>
        <v>0</v>
      </c>
      <c r="N23" s="151" t="str">
        <f t="shared" si="4"/>
        <v/>
      </c>
      <c r="O23" s="69"/>
    </row>
    <row r="24" spans="2:15" ht="15.75">
      <c r="B24" s="269" t="s">
        <v>95</v>
      </c>
      <c r="C24" s="270">
        <v>1</v>
      </c>
      <c r="D24" s="270">
        <v>7000</v>
      </c>
      <c r="E24" s="134">
        <f t="shared" si="6"/>
        <v>7000</v>
      </c>
      <c r="F24" s="64"/>
      <c r="G24" s="67"/>
      <c r="H24" s="150">
        <f t="shared" si="7"/>
        <v>0</v>
      </c>
      <c r="I24" s="151" t="str">
        <f t="shared" si="8"/>
        <v/>
      </c>
      <c r="J24" s="68"/>
      <c r="K24" s="17"/>
      <c r="L24" s="98">
        <f t="shared" si="9"/>
        <v>0</v>
      </c>
      <c r="M24" s="150">
        <f t="shared" si="10"/>
        <v>0</v>
      </c>
      <c r="N24" s="151" t="str">
        <f t="shared" si="4"/>
        <v/>
      </c>
      <c r="O24" s="69"/>
    </row>
    <row r="25" spans="2:15" ht="15.75">
      <c r="B25" s="269" t="s">
        <v>54</v>
      </c>
      <c r="C25" s="270">
        <v>1</v>
      </c>
      <c r="D25" s="270">
        <v>500</v>
      </c>
      <c r="E25" s="134">
        <f t="shared" si="6"/>
        <v>500</v>
      </c>
      <c r="F25" s="64"/>
      <c r="G25" s="67"/>
      <c r="H25" s="150">
        <f t="shared" si="7"/>
        <v>0</v>
      </c>
      <c r="I25" s="151" t="str">
        <f t="shared" si="8"/>
        <v/>
      </c>
      <c r="J25" s="68"/>
      <c r="K25" s="17"/>
      <c r="L25" s="98">
        <f t="shared" si="9"/>
        <v>0</v>
      </c>
      <c r="M25" s="150">
        <f t="shared" si="10"/>
        <v>0</v>
      </c>
      <c r="N25" s="151" t="str">
        <f t="shared" si="4"/>
        <v/>
      </c>
      <c r="O25" s="69"/>
    </row>
    <row r="26" spans="2:15" ht="15.75">
      <c r="B26" s="269" t="s">
        <v>435</v>
      </c>
      <c r="C26" s="270">
        <v>1</v>
      </c>
      <c r="D26" s="270">
        <v>1600</v>
      </c>
      <c r="E26" s="134">
        <f t="shared" si="6"/>
        <v>1600</v>
      </c>
      <c r="F26" s="64"/>
      <c r="G26" s="67"/>
      <c r="H26" s="150">
        <f t="shared" si="7"/>
        <v>0</v>
      </c>
      <c r="I26" s="151" t="str">
        <f t="shared" si="8"/>
        <v/>
      </c>
      <c r="J26" s="68"/>
      <c r="K26" s="17"/>
      <c r="L26" s="98">
        <f t="shared" si="9"/>
        <v>0</v>
      </c>
      <c r="M26" s="150">
        <f t="shared" si="10"/>
        <v>0</v>
      </c>
      <c r="N26" s="151" t="str">
        <f t="shared" si="4"/>
        <v/>
      </c>
      <c r="O26" s="69"/>
    </row>
    <row r="27" spans="2:15" ht="15.75">
      <c r="B27" s="269" t="s">
        <v>436</v>
      </c>
      <c r="C27" s="270">
        <v>1</v>
      </c>
      <c r="D27" s="270">
        <v>2500</v>
      </c>
      <c r="E27" s="134">
        <f t="shared" si="6"/>
        <v>2500</v>
      </c>
      <c r="F27" s="64"/>
      <c r="G27" s="67"/>
      <c r="H27" s="150">
        <f t="shared" si="7"/>
        <v>0</v>
      </c>
      <c r="I27" s="151" t="str">
        <f t="shared" si="8"/>
        <v/>
      </c>
      <c r="J27" s="68"/>
      <c r="K27" s="17"/>
      <c r="L27" s="98">
        <f t="shared" si="9"/>
        <v>0</v>
      </c>
      <c r="M27" s="150">
        <f t="shared" si="10"/>
        <v>0</v>
      </c>
      <c r="N27" s="151" t="str">
        <f t="shared" si="4"/>
        <v/>
      </c>
      <c r="O27" s="69"/>
    </row>
    <row r="28" spans="2:15" ht="15.75">
      <c r="B28" s="269" t="s">
        <v>55</v>
      </c>
      <c r="C28" s="270">
        <v>1</v>
      </c>
      <c r="D28" s="270">
        <v>1000</v>
      </c>
      <c r="E28" s="134">
        <f t="shared" si="6"/>
        <v>1000</v>
      </c>
      <c r="F28" s="64"/>
      <c r="G28" s="67"/>
      <c r="H28" s="150">
        <f t="shared" si="7"/>
        <v>0</v>
      </c>
      <c r="I28" s="151" t="str">
        <f t="shared" si="8"/>
        <v/>
      </c>
      <c r="J28" s="68"/>
      <c r="K28" s="17"/>
      <c r="L28" s="98">
        <f t="shared" si="9"/>
        <v>0</v>
      </c>
      <c r="M28" s="150">
        <f t="shared" si="10"/>
        <v>0</v>
      </c>
      <c r="N28" s="151" t="str">
        <f t="shared" si="4"/>
        <v/>
      </c>
      <c r="O28" s="69"/>
    </row>
    <row r="29" spans="2:15" ht="15.75" customHeight="1">
      <c r="B29" s="269" t="s">
        <v>437</v>
      </c>
      <c r="C29" s="270">
        <v>1</v>
      </c>
      <c r="D29" s="270">
        <v>1600</v>
      </c>
      <c r="E29" s="134">
        <f t="shared" si="6"/>
        <v>1600</v>
      </c>
      <c r="F29" s="64"/>
      <c r="G29" s="67"/>
      <c r="H29" s="150">
        <f t="shared" si="7"/>
        <v>0</v>
      </c>
      <c r="I29" s="151" t="str">
        <f t="shared" si="8"/>
        <v/>
      </c>
      <c r="J29" s="68"/>
      <c r="K29" s="17"/>
      <c r="L29" s="98">
        <f t="shared" si="9"/>
        <v>0</v>
      </c>
      <c r="M29" s="150">
        <f t="shared" si="10"/>
        <v>0</v>
      </c>
      <c r="N29" s="151" t="str">
        <f t="shared" si="4"/>
        <v/>
      </c>
      <c r="O29" s="69"/>
    </row>
    <row r="30" spans="2:15" ht="15" customHeight="1">
      <c r="B30" s="269" t="s">
        <v>134</v>
      </c>
      <c r="C30" s="270">
        <v>1</v>
      </c>
      <c r="D30" s="270">
        <v>1000</v>
      </c>
      <c r="E30" s="134">
        <f t="shared" si="6"/>
        <v>1000</v>
      </c>
      <c r="F30" s="64"/>
      <c r="G30" s="67"/>
      <c r="H30" s="150">
        <f t="shared" si="7"/>
        <v>0</v>
      </c>
      <c r="I30" s="151" t="str">
        <f t="shared" si="8"/>
        <v/>
      </c>
      <c r="J30" s="68"/>
      <c r="K30" s="17"/>
      <c r="L30" s="98">
        <f t="shared" si="9"/>
        <v>0</v>
      </c>
      <c r="M30" s="150">
        <f t="shared" si="10"/>
        <v>0</v>
      </c>
      <c r="N30" s="151" t="str">
        <f t="shared" si="4"/>
        <v/>
      </c>
      <c r="O30" s="69"/>
    </row>
    <row r="31" spans="2:15" ht="17.25" customHeight="1">
      <c r="B31" s="269" t="s">
        <v>182</v>
      </c>
      <c r="C31" s="270">
        <v>1</v>
      </c>
      <c r="D31" s="270">
        <v>1500</v>
      </c>
      <c r="E31" s="134">
        <f t="shared" si="6"/>
        <v>1500</v>
      </c>
      <c r="F31" s="64"/>
      <c r="G31" s="67"/>
      <c r="H31" s="150">
        <f t="shared" si="7"/>
        <v>0</v>
      </c>
      <c r="I31" s="151" t="str">
        <f t="shared" si="8"/>
        <v/>
      </c>
      <c r="J31" s="68"/>
      <c r="K31" s="17"/>
      <c r="L31" s="98">
        <f t="shared" si="9"/>
        <v>0</v>
      </c>
      <c r="M31" s="150">
        <f t="shared" si="10"/>
        <v>0</v>
      </c>
      <c r="N31" s="151" t="str">
        <f t="shared" si="4"/>
        <v/>
      </c>
      <c r="O31" s="69"/>
    </row>
    <row r="32" spans="2:15" ht="30">
      <c r="B32" s="269" t="s">
        <v>438</v>
      </c>
      <c r="C32" s="270">
        <v>1</v>
      </c>
      <c r="D32" s="270">
        <v>3000</v>
      </c>
      <c r="E32" s="134">
        <f t="shared" si="6"/>
        <v>3000</v>
      </c>
      <c r="F32" s="64"/>
      <c r="G32" s="67"/>
      <c r="H32" s="150">
        <f t="shared" si="7"/>
        <v>0</v>
      </c>
      <c r="I32" s="151" t="str">
        <f t="shared" si="8"/>
        <v/>
      </c>
      <c r="J32" s="68"/>
      <c r="K32" s="17"/>
      <c r="L32" s="98">
        <f t="shared" si="9"/>
        <v>0</v>
      </c>
      <c r="M32" s="150">
        <f t="shared" si="10"/>
        <v>0</v>
      </c>
      <c r="N32" s="151" t="str">
        <f t="shared" si="4"/>
        <v/>
      </c>
      <c r="O32" s="69"/>
    </row>
    <row r="33" spans="2:15" ht="15.75">
      <c r="B33" s="269" t="s">
        <v>135</v>
      </c>
      <c r="C33" s="270">
        <v>1</v>
      </c>
      <c r="D33" s="270">
        <v>2000</v>
      </c>
      <c r="E33" s="134">
        <f t="shared" si="6"/>
        <v>2000</v>
      </c>
      <c r="F33" s="64"/>
      <c r="G33" s="67"/>
      <c r="H33" s="150">
        <f t="shared" si="7"/>
        <v>0</v>
      </c>
      <c r="I33" s="151" t="str">
        <f t="shared" si="8"/>
        <v/>
      </c>
      <c r="J33" s="68"/>
      <c r="K33" s="17"/>
      <c r="L33" s="98">
        <f t="shared" si="9"/>
        <v>0</v>
      </c>
      <c r="M33" s="150">
        <f t="shared" si="10"/>
        <v>0</v>
      </c>
      <c r="N33" s="151" t="str">
        <f t="shared" si="4"/>
        <v/>
      </c>
      <c r="O33" s="69"/>
    </row>
    <row r="34" spans="2:15" ht="30">
      <c r="B34" s="269" t="s">
        <v>136</v>
      </c>
      <c r="C34" s="270">
        <v>1</v>
      </c>
      <c r="D34" s="270">
        <v>3000</v>
      </c>
      <c r="E34" s="134">
        <f t="shared" si="6"/>
        <v>3000</v>
      </c>
      <c r="F34" s="64"/>
      <c r="G34" s="67"/>
      <c r="H34" s="150">
        <f t="shared" si="7"/>
        <v>0</v>
      </c>
      <c r="I34" s="151" t="str">
        <f t="shared" si="8"/>
        <v/>
      </c>
      <c r="J34" s="68"/>
      <c r="K34" s="17"/>
      <c r="L34" s="98">
        <f t="shared" si="9"/>
        <v>0</v>
      </c>
      <c r="M34" s="150">
        <f t="shared" si="10"/>
        <v>0</v>
      </c>
      <c r="N34" s="151" t="str">
        <f t="shared" si="4"/>
        <v/>
      </c>
      <c r="O34" s="69"/>
    </row>
    <row r="35" spans="2:15" ht="15.75">
      <c r="B35" s="269" t="s">
        <v>272</v>
      </c>
      <c r="C35" s="270">
        <v>1</v>
      </c>
      <c r="D35" s="270">
        <v>1000</v>
      </c>
      <c r="E35" s="134">
        <f t="shared" si="6"/>
        <v>1000</v>
      </c>
      <c r="F35" s="64"/>
      <c r="G35" s="67"/>
      <c r="H35" s="150">
        <f t="shared" si="7"/>
        <v>0</v>
      </c>
      <c r="I35" s="151" t="str">
        <f t="shared" si="8"/>
        <v/>
      </c>
      <c r="J35" s="68"/>
      <c r="K35" s="17"/>
      <c r="L35" s="98">
        <f t="shared" si="9"/>
        <v>0</v>
      </c>
      <c r="M35" s="150">
        <f t="shared" si="10"/>
        <v>0</v>
      </c>
      <c r="N35" s="151" t="str">
        <f t="shared" si="4"/>
        <v/>
      </c>
      <c r="O35" s="69"/>
    </row>
    <row r="36" spans="2:15" ht="15.75">
      <c r="B36" s="269" t="s">
        <v>183</v>
      </c>
      <c r="C36" s="270">
        <v>1</v>
      </c>
      <c r="D36" s="270">
        <v>500</v>
      </c>
      <c r="E36" s="134">
        <f t="shared" si="6"/>
        <v>500</v>
      </c>
      <c r="F36" s="64"/>
      <c r="G36" s="67"/>
      <c r="H36" s="150">
        <f t="shared" si="7"/>
        <v>0</v>
      </c>
      <c r="I36" s="151" t="str">
        <f t="shared" si="8"/>
        <v/>
      </c>
      <c r="J36" s="68"/>
      <c r="K36" s="17"/>
      <c r="L36" s="98">
        <f t="shared" si="9"/>
        <v>0</v>
      </c>
      <c r="M36" s="150">
        <f t="shared" si="10"/>
        <v>0</v>
      </c>
      <c r="N36" s="151" t="str">
        <f t="shared" si="4"/>
        <v/>
      </c>
      <c r="O36" s="69"/>
    </row>
    <row r="37" spans="2:15" ht="18.75" customHeight="1">
      <c r="B37" s="269" t="s">
        <v>443</v>
      </c>
      <c r="C37" s="270">
        <v>1</v>
      </c>
      <c r="D37" s="270">
        <v>800</v>
      </c>
      <c r="E37" s="134">
        <f t="shared" si="6"/>
        <v>800</v>
      </c>
      <c r="F37" s="64"/>
      <c r="G37" s="67"/>
      <c r="H37" s="150">
        <f t="shared" si="7"/>
        <v>0</v>
      </c>
      <c r="I37" s="151" t="str">
        <f t="shared" si="8"/>
        <v/>
      </c>
      <c r="J37" s="68"/>
      <c r="K37" s="17"/>
      <c r="L37" s="98">
        <f t="shared" si="9"/>
        <v>0</v>
      </c>
      <c r="M37" s="150">
        <f t="shared" si="10"/>
        <v>0</v>
      </c>
      <c r="N37" s="151" t="str">
        <f t="shared" si="4"/>
        <v/>
      </c>
      <c r="O37" s="69"/>
    </row>
    <row r="38" spans="2:15" ht="15.75">
      <c r="B38" s="269" t="s">
        <v>61</v>
      </c>
      <c r="C38" s="270">
        <v>1</v>
      </c>
      <c r="D38" s="270">
        <v>7500</v>
      </c>
      <c r="E38" s="134">
        <f t="shared" si="6"/>
        <v>7500</v>
      </c>
      <c r="F38" s="64"/>
      <c r="G38" s="67"/>
      <c r="H38" s="150">
        <f t="shared" si="7"/>
        <v>0</v>
      </c>
      <c r="I38" s="151" t="str">
        <f t="shared" si="8"/>
        <v/>
      </c>
      <c r="J38" s="68"/>
      <c r="K38" s="17"/>
      <c r="L38" s="98">
        <f t="shared" si="9"/>
        <v>0</v>
      </c>
      <c r="M38" s="150">
        <f t="shared" si="10"/>
        <v>0</v>
      </c>
      <c r="N38" s="151" t="str">
        <f t="shared" si="4"/>
        <v/>
      </c>
      <c r="O38" s="69"/>
    </row>
    <row r="39" spans="2:15" ht="15.75">
      <c r="B39" s="269" t="s">
        <v>62</v>
      </c>
      <c r="C39" s="270">
        <v>1</v>
      </c>
      <c r="D39" s="270">
        <v>8500</v>
      </c>
      <c r="E39" s="134">
        <f t="shared" si="6"/>
        <v>8500</v>
      </c>
      <c r="F39" s="64"/>
      <c r="G39" s="67"/>
      <c r="H39" s="150">
        <f t="shared" si="7"/>
        <v>0</v>
      </c>
      <c r="I39" s="151" t="str">
        <f t="shared" si="8"/>
        <v/>
      </c>
      <c r="J39" s="68"/>
      <c r="K39" s="17"/>
      <c r="L39" s="98">
        <f t="shared" si="9"/>
        <v>0</v>
      </c>
      <c r="M39" s="150">
        <f t="shared" si="10"/>
        <v>0</v>
      </c>
      <c r="N39" s="151" t="str">
        <f t="shared" si="4"/>
        <v/>
      </c>
      <c r="O39" s="69"/>
    </row>
    <row r="40" spans="2:15" ht="15.75">
      <c r="B40" s="269" t="s">
        <v>273</v>
      </c>
      <c r="C40" s="270">
        <v>1</v>
      </c>
      <c r="D40" s="270">
        <v>15000</v>
      </c>
      <c r="E40" s="134">
        <f t="shared" si="6"/>
        <v>15000</v>
      </c>
      <c r="F40" s="64"/>
      <c r="G40" s="67"/>
      <c r="H40" s="150">
        <f t="shared" si="7"/>
        <v>0</v>
      </c>
      <c r="I40" s="151" t="str">
        <f t="shared" si="8"/>
        <v/>
      </c>
      <c r="J40" s="68"/>
      <c r="K40" s="17"/>
      <c r="L40" s="98">
        <f t="shared" si="9"/>
        <v>0</v>
      </c>
      <c r="M40" s="150">
        <f t="shared" si="10"/>
        <v>0</v>
      </c>
      <c r="N40" s="151" t="str">
        <f t="shared" si="4"/>
        <v/>
      </c>
      <c r="O40" s="69"/>
    </row>
    <row r="41" spans="2:15" ht="15.75">
      <c r="B41" s="269" t="s">
        <v>63</v>
      </c>
      <c r="C41" s="270">
        <v>1</v>
      </c>
      <c r="D41" s="270">
        <v>500</v>
      </c>
      <c r="E41" s="134">
        <f t="shared" si="6"/>
        <v>500</v>
      </c>
      <c r="F41" s="64"/>
      <c r="G41" s="67"/>
      <c r="H41" s="150">
        <f t="shared" si="7"/>
        <v>0</v>
      </c>
      <c r="I41" s="151" t="str">
        <f t="shared" si="8"/>
        <v/>
      </c>
      <c r="J41" s="68"/>
      <c r="K41" s="17"/>
      <c r="L41" s="98">
        <f t="shared" si="9"/>
        <v>0</v>
      </c>
      <c r="M41" s="150">
        <f t="shared" si="10"/>
        <v>0</v>
      </c>
      <c r="N41" s="151" t="str">
        <f t="shared" si="4"/>
        <v/>
      </c>
      <c r="O41" s="69"/>
    </row>
    <row r="42" spans="2:15" ht="15.75">
      <c r="B42" s="269" t="s">
        <v>64</v>
      </c>
      <c r="C42" s="270">
        <v>1</v>
      </c>
      <c r="D42" s="270">
        <v>8500</v>
      </c>
      <c r="E42" s="134">
        <f t="shared" si="6"/>
        <v>8500</v>
      </c>
      <c r="F42" s="64"/>
      <c r="G42" s="67"/>
      <c r="H42" s="150">
        <f t="shared" si="7"/>
        <v>0</v>
      </c>
      <c r="I42" s="151" t="str">
        <f t="shared" si="8"/>
        <v/>
      </c>
      <c r="J42" s="68"/>
      <c r="K42" s="17"/>
      <c r="L42" s="98">
        <f t="shared" si="9"/>
        <v>0</v>
      </c>
      <c r="M42" s="150">
        <f t="shared" si="10"/>
        <v>0</v>
      </c>
      <c r="N42" s="151" t="str">
        <f t="shared" si="4"/>
        <v/>
      </c>
      <c r="O42" s="69"/>
    </row>
    <row r="43" spans="2:15" ht="15.75">
      <c r="B43" s="269" t="s">
        <v>65</v>
      </c>
      <c r="C43" s="270">
        <v>1</v>
      </c>
      <c r="D43" s="270">
        <v>10000</v>
      </c>
      <c r="E43" s="134">
        <f t="shared" si="6"/>
        <v>10000</v>
      </c>
      <c r="F43" s="64"/>
      <c r="G43" s="67"/>
      <c r="H43" s="150">
        <f t="shared" si="7"/>
        <v>0</v>
      </c>
      <c r="I43" s="151" t="str">
        <f t="shared" si="8"/>
        <v/>
      </c>
      <c r="J43" s="68"/>
      <c r="K43" s="17"/>
      <c r="L43" s="98">
        <f t="shared" si="9"/>
        <v>0</v>
      </c>
      <c r="M43" s="150">
        <f t="shared" si="10"/>
        <v>0</v>
      </c>
      <c r="N43" s="151" t="str">
        <f t="shared" si="4"/>
        <v/>
      </c>
      <c r="O43" s="69"/>
    </row>
    <row r="44" spans="2:15" ht="15.75">
      <c r="B44" s="269" t="s">
        <v>66</v>
      </c>
      <c r="C44" s="270">
        <v>1</v>
      </c>
      <c r="D44" s="270">
        <v>6500</v>
      </c>
      <c r="E44" s="134">
        <f t="shared" si="6"/>
        <v>6500</v>
      </c>
      <c r="F44" s="64"/>
      <c r="G44" s="67"/>
      <c r="H44" s="150">
        <f t="shared" si="7"/>
        <v>0</v>
      </c>
      <c r="I44" s="151" t="str">
        <f t="shared" si="8"/>
        <v/>
      </c>
      <c r="J44" s="68"/>
      <c r="K44" s="17"/>
      <c r="L44" s="98">
        <f t="shared" si="9"/>
        <v>0</v>
      </c>
      <c r="M44" s="150">
        <f t="shared" si="10"/>
        <v>0</v>
      </c>
      <c r="N44" s="151" t="str">
        <f t="shared" si="4"/>
        <v/>
      </c>
      <c r="O44" s="69"/>
    </row>
    <row r="45" spans="2:15" ht="15.75">
      <c r="B45" s="269" t="s">
        <v>184</v>
      </c>
      <c r="C45" s="270">
        <v>1</v>
      </c>
      <c r="D45" s="270">
        <v>15000</v>
      </c>
      <c r="E45" s="134">
        <f t="shared" si="6"/>
        <v>15000</v>
      </c>
      <c r="F45" s="64"/>
      <c r="G45" s="67"/>
      <c r="H45" s="150">
        <f t="shared" si="7"/>
        <v>0</v>
      </c>
      <c r="I45" s="151" t="str">
        <f t="shared" si="8"/>
        <v/>
      </c>
      <c r="J45" s="68"/>
      <c r="K45" s="17"/>
      <c r="L45" s="98">
        <f t="shared" si="9"/>
        <v>0</v>
      </c>
      <c r="M45" s="150">
        <f t="shared" si="10"/>
        <v>0</v>
      </c>
      <c r="N45" s="151" t="str">
        <f t="shared" si="4"/>
        <v/>
      </c>
      <c r="O45" s="69"/>
    </row>
    <row r="46" spans="2:15" ht="15.75">
      <c r="B46" s="269" t="s">
        <v>67</v>
      </c>
      <c r="C46" s="270">
        <v>1</v>
      </c>
      <c r="D46" s="270">
        <v>2500</v>
      </c>
      <c r="E46" s="134">
        <f t="shared" si="6"/>
        <v>2500</v>
      </c>
      <c r="F46" s="64"/>
      <c r="G46" s="67"/>
      <c r="H46" s="150">
        <f t="shared" si="7"/>
        <v>0</v>
      </c>
      <c r="I46" s="151" t="str">
        <f t="shared" si="8"/>
        <v/>
      </c>
      <c r="J46" s="68"/>
      <c r="K46" s="17"/>
      <c r="L46" s="98">
        <f t="shared" si="9"/>
        <v>0</v>
      </c>
      <c r="M46" s="150">
        <f t="shared" si="10"/>
        <v>0</v>
      </c>
      <c r="N46" s="151" t="str">
        <f t="shared" si="4"/>
        <v/>
      </c>
      <c r="O46" s="69"/>
    </row>
    <row r="47" spans="2:15" ht="15.75" customHeight="1">
      <c r="B47" s="590" t="s">
        <v>119</v>
      </c>
      <c r="C47" s="591"/>
      <c r="D47" s="591"/>
      <c r="E47" s="592"/>
      <c r="F47" s="64"/>
      <c r="G47" s="590" t="s">
        <v>119</v>
      </c>
      <c r="H47" s="591"/>
      <c r="I47" s="591"/>
      <c r="J47" s="592"/>
      <c r="K47" s="17"/>
      <c r="L47" s="590" t="s">
        <v>119</v>
      </c>
      <c r="M47" s="591"/>
      <c r="N47" s="591"/>
      <c r="O47" s="592"/>
    </row>
    <row r="48" spans="2:15" ht="15.75">
      <c r="B48" s="269" t="s">
        <v>274</v>
      </c>
      <c r="C48" s="270">
        <v>1</v>
      </c>
      <c r="D48" s="270">
        <v>3500</v>
      </c>
      <c r="E48" s="134">
        <f t="shared" ref="E48:E65" si="11">D48*C48</f>
        <v>3500</v>
      </c>
      <c r="F48" s="64"/>
      <c r="G48" s="67"/>
      <c r="H48" s="150">
        <f t="shared" si="7"/>
        <v>0</v>
      </c>
      <c r="I48" s="151" t="str">
        <f t="shared" ref="I48" si="12">IF(H48=0,"",IF(OR(H48-$E48&gt;0,H48-$E48&lt;0),(H48-$E48)/$E48,""))</f>
        <v/>
      </c>
      <c r="J48" s="68"/>
      <c r="K48" s="17"/>
      <c r="L48" s="98">
        <f t="shared" ref="L48:L65" si="13">G48</f>
        <v>0</v>
      </c>
      <c r="M48" s="150">
        <f t="shared" ref="M48:M65" si="14">IFERROR(L48*D48,"")</f>
        <v>0</v>
      </c>
      <c r="N48" s="151" t="str">
        <f t="shared" si="4"/>
        <v/>
      </c>
      <c r="O48" s="69"/>
    </row>
    <row r="49" spans="2:15" ht="15.75">
      <c r="B49" s="269" t="s">
        <v>275</v>
      </c>
      <c r="C49" s="270">
        <v>1</v>
      </c>
      <c r="D49" s="270">
        <v>5000</v>
      </c>
      <c r="E49" s="134">
        <f t="shared" si="11"/>
        <v>5000</v>
      </c>
      <c r="F49" s="64"/>
      <c r="G49" s="67"/>
      <c r="H49" s="150">
        <f t="shared" si="7"/>
        <v>0</v>
      </c>
      <c r="I49" s="151" t="str">
        <f t="shared" ref="I49:I65" si="15">IF(H49=0,"",IF(OR(H49-$E49&gt;0,H49-$E49&lt;0),(H49-$E49)/$E49,""))</f>
        <v/>
      </c>
      <c r="J49" s="68"/>
      <c r="K49" s="17"/>
      <c r="L49" s="98">
        <f t="shared" si="13"/>
        <v>0</v>
      </c>
      <c r="M49" s="150">
        <f t="shared" si="14"/>
        <v>0</v>
      </c>
      <c r="N49" s="151" t="str">
        <f t="shared" si="4"/>
        <v/>
      </c>
      <c r="O49" s="69"/>
    </row>
    <row r="50" spans="2:15" ht="18.75" customHeight="1">
      <c r="B50" s="269" t="s">
        <v>185</v>
      </c>
      <c r="C50" s="270">
        <v>1</v>
      </c>
      <c r="D50" s="270">
        <v>5200</v>
      </c>
      <c r="E50" s="134">
        <f t="shared" si="11"/>
        <v>5200</v>
      </c>
      <c r="F50" s="64"/>
      <c r="G50" s="67"/>
      <c r="H50" s="150">
        <f t="shared" si="7"/>
        <v>0</v>
      </c>
      <c r="I50" s="151" t="str">
        <f t="shared" si="15"/>
        <v/>
      </c>
      <c r="J50" s="68"/>
      <c r="K50" s="17"/>
      <c r="L50" s="98">
        <f t="shared" si="13"/>
        <v>0</v>
      </c>
      <c r="M50" s="150">
        <f t="shared" si="14"/>
        <v>0</v>
      </c>
      <c r="N50" s="151" t="str">
        <f t="shared" si="4"/>
        <v/>
      </c>
      <c r="O50" s="69"/>
    </row>
    <row r="51" spans="2:15" ht="15.75">
      <c r="B51" s="269" t="s">
        <v>186</v>
      </c>
      <c r="C51" s="270">
        <v>1</v>
      </c>
      <c r="D51" s="270">
        <v>1700</v>
      </c>
      <c r="E51" s="134">
        <f t="shared" si="11"/>
        <v>1700</v>
      </c>
      <c r="F51" s="64"/>
      <c r="G51" s="67"/>
      <c r="H51" s="150">
        <f t="shared" si="7"/>
        <v>0</v>
      </c>
      <c r="I51" s="151" t="str">
        <f t="shared" si="15"/>
        <v/>
      </c>
      <c r="J51" s="68"/>
      <c r="K51" s="17"/>
      <c r="L51" s="98">
        <f t="shared" si="13"/>
        <v>0</v>
      </c>
      <c r="M51" s="150">
        <f t="shared" si="14"/>
        <v>0</v>
      </c>
      <c r="N51" s="151" t="str">
        <f t="shared" si="4"/>
        <v/>
      </c>
      <c r="O51" s="69"/>
    </row>
    <row r="52" spans="2:15" ht="16.5" customHeight="1">
      <c r="B52" s="269" t="s">
        <v>162</v>
      </c>
      <c r="C52" s="270">
        <v>1</v>
      </c>
      <c r="D52" s="270">
        <v>1500</v>
      </c>
      <c r="E52" s="134">
        <f t="shared" si="11"/>
        <v>1500</v>
      </c>
      <c r="F52" s="64"/>
      <c r="G52" s="67"/>
      <c r="H52" s="150">
        <f t="shared" si="7"/>
        <v>0</v>
      </c>
      <c r="I52" s="151" t="str">
        <f t="shared" si="15"/>
        <v/>
      </c>
      <c r="J52" s="68"/>
      <c r="K52" s="17"/>
      <c r="L52" s="98">
        <f t="shared" si="13"/>
        <v>0</v>
      </c>
      <c r="M52" s="150">
        <f t="shared" si="14"/>
        <v>0</v>
      </c>
      <c r="N52" s="151" t="str">
        <f t="shared" si="4"/>
        <v/>
      </c>
      <c r="O52" s="69"/>
    </row>
    <row r="53" spans="2:15" ht="15.75">
      <c r="B53" s="269" t="s">
        <v>187</v>
      </c>
      <c r="C53" s="270">
        <v>1</v>
      </c>
      <c r="D53" s="270">
        <v>2500</v>
      </c>
      <c r="E53" s="134">
        <f t="shared" si="11"/>
        <v>2500</v>
      </c>
      <c r="F53" s="64"/>
      <c r="G53" s="67"/>
      <c r="H53" s="150">
        <f t="shared" si="7"/>
        <v>0</v>
      </c>
      <c r="I53" s="151" t="str">
        <f t="shared" si="15"/>
        <v/>
      </c>
      <c r="J53" s="68"/>
      <c r="K53" s="17"/>
      <c r="L53" s="98">
        <f t="shared" si="13"/>
        <v>0</v>
      </c>
      <c r="M53" s="150">
        <f t="shared" si="14"/>
        <v>0</v>
      </c>
      <c r="N53" s="151" t="str">
        <f t="shared" si="4"/>
        <v/>
      </c>
      <c r="O53" s="69"/>
    </row>
    <row r="54" spans="2:15" ht="15.75">
      <c r="B54" s="269" t="s">
        <v>56</v>
      </c>
      <c r="C54" s="270">
        <v>1</v>
      </c>
      <c r="D54" s="270">
        <v>120</v>
      </c>
      <c r="E54" s="134">
        <f t="shared" si="11"/>
        <v>120</v>
      </c>
      <c r="F54" s="64"/>
      <c r="G54" s="67"/>
      <c r="H54" s="150">
        <f t="shared" si="7"/>
        <v>0</v>
      </c>
      <c r="I54" s="151" t="str">
        <f t="shared" si="15"/>
        <v/>
      </c>
      <c r="J54" s="68"/>
      <c r="K54" s="17"/>
      <c r="L54" s="98">
        <f t="shared" si="13"/>
        <v>0</v>
      </c>
      <c r="M54" s="150">
        <f t="shared" si="14"/>
        <v>0</v>
      </c>
      <c r="N54" s="151" t="str">
        <f t="shared" si="4"/>
        <v/>
      </c>
      <c r="O54" s="69"/>
    </row>
    <row r="55" spans="2:15" ht="15.75">
      <c r="B55" s="269" t="s">
        <v>439</v>
      </c>
      <c r="C55" s="270">
        <v>1</v>
      </c>
      <c r="D55" s="270">
        <v>1000</v>
      </c>
      <c r="E55" s="134">
        <f t="shared" si="11"/>
        <v>1000</v>
      </c>
      <c r="F55" s="64"/>
      <c r="G55" s="67"/>
      <c r="H55" s="150">
        <f t="shared" si="7"/>
        <v>0</v>
      </c>
      <c r="I55" s="151" t="str">
        <f t="shared" si="15"/>
        <v/>
      </c>
      <c r="J55" s="68"/>
      <c r="K55" s="17"/>
      <c r="L55" s="98">
        <f t="shared" si="13"/>
        <v>0</v>
      </c>
      <c r="M55" s="150">
        <f t="shared" si="14"/>
        <v>0</v>
      </c>
      <c r="N55" s="151" t="str">
        <f t="shared" si="4"/>
        <v/>
      </c>
      <c r="O55" s="69"/>
    </row>
    <row r="56" spans="2:15" ht="15.75">
      <c r="B56" s="269" t="s">
        <v>57</v>
      </c>
      <c r="C56" s="270">
        <v>1</v>
      </c>
      <c r="D56" s="270">
        <v>2000</v>
      </c>
      <c r="E56" s="134">
        <f t="shared" si="11"/>
        <v>2000</v>
      </c>
      <c r="F56" s="64"/>
      <c r="G56" s="67"/>
      <c r="H56" s="150">
        <f t="shared" si="7"/>
        <v>0</v>
      </c>
      <c r="I56" s="151" t="str">
        <f t="shared" si="15"/>
        <v/>
      </c>
      <c r="J56" s="68"/>
      <c r="K56" s="17"/>
      <c r="L56" s="98">
        <f t="shared" si="13"/>
        <v>0</v>
      </c>
      <c r="M56" s="150">
        <f t="shared" si="14"/>
        <v>0</v>
      </c>
      <c r="N56" s="151" t="str">
        <f t="shared" si="4"/>
        <v/>
      </c>
      <c r="O56" s="69"/>
    </row>
    <row r="57" spans="2:15" ht="15.75">
      <c r="B57" s="269" t="s">
        <v>58</v>
      </c>
      <c r="C57" s="270">
        <v>1</v>
      </c>
      <c r="D57" s="270">
        <v>3800</v>
      </c>
      <c r="E57" s="134">
        <f t="shared" si="11"/>
        <v>3800</v>
      </c>
      <c r="F57" s="64"/>
      <c r="G57" s="67"/>
      <c r="H57" s="150">
        <f t="shared" si="7"/>
        <v>0</v>
      </c>
      <c r="I57" s="151" t="str">
        <f t="shared" si="15"/>
        <v/>
      </c>
      <c r="J57" s="68"/>
      <c r="K57" s="17"/>
      <c r="L57" s="98">
        <f t="shared" si="13"/>
        <v>0</v>
      </c>
      <c r="M57" s="150">
        <f t="shared" si="14"/>
        <v>0</v>
      </c>
      <c r="N57" s="151" t="str">
        <f t="shared" si="4"/>
        <v/>
      </c>
      <c r="O57" s="69"/>
    </row>
    <row r="58" spans="2:15" ht="15.75">
      <c r="B58" s="269" t="s">
        <v>440</v>
      </c>
      <c r="C58" s="270">
        <v>1</v>
      </c>
      <c r="D58" s="270">
        <v>6000</v>
      </c>
      <c r="E58" s="134">
        <f t="shared" si="11"/>
        <v>6000</v>
      </c>
      <c r="F58" s="64"/>
      <c r="G58" s="67"/>
      <c r="H58" s="150">
        <f t="shared" si="7"/>
        <v>0</v>
      </c>
      <c r="I58" s="151" t="str">
        <f t="shared" si="15"/>
        <v/>
      </c>
      <c r="J58" s="68"/>
      <c r="K58" s="17"/>
      <c r="L58" s="98">
        <f t="shared" si="13"/>
        <v>0</v>
      </c>
      <c r="M58" s="150">
        <f t="shared" si="14"/>
        <v>0</v>
      </c>
      <c r="N58" s="151" t="str">
        <f t="shared" si="4"/>
        <v/>
      </c>
      <c r="O58" s="69"/>
    </row>
    <row r="59" spans="2:15" ht="15.75">
      <c r="B59" s="269" t="s">
        <v>190</v>
      </c>
      <c r="C59" s="270">
        <v>1</v>
      </c>
      <c r="D59" s="270">
        <v>4500</v>
      </c>
      <c r="E59" s="134">
        <f t="shared" si="11"/>
        <v>4500</v>
      </c>
      <c r="F59" s="64"/>
      <c r="G59" s="67"/>
      <c r="H59" s="150">
        <f t="shared" si="7"/>
        <v>0</v>
      </c>
      <c r="I59" s="151" t="str">
        <f t="shared" si="15"/>
        <v/>
      </c>
      <c r="J59" s="68"/>
      <c r="K59" s="17"/>
      <c r="L59" s="98">
        <f t="shared" si="13"/>
        <v>0</v>
      </c>
      <c r="M59" s="150">
        <f t="shared" si="14"/>
        <v>0</v>
      </c>
      <c r="N59" s="151" t="str">
        <f t="shared" si="4"/>
        <v/>
      </c>
      <c r="O59" s="69"/>
    </row>
    <row r="60" spans="2:15" ht="15.75">
      <c r="B60" s="269" t="s">
        <v>191</v>
      </c>
      <c r="C60" s="270">
        <v>1</v>
      </c>
      <c r="D60" s="270">
        <v>5000</v>
      </c>
      <c r="E60" s="134">
        <f t="shared" si="11"/>
        <v>5000</v>
      </c>
      <c r="F60" s="64"/>
      <c r="G60" s="67"/>
      <c r="H60" s="150">
        <f t="shared" si="7"/>
        <v>0</v>
      </c>
      <c r="I60" s="151" t="str">
        <f t="shared" si="15"/>
        <v/>
      </c>
      <c r="J60" s="68"/>
      <c r="K60" s="17"/>
      <c r="L60" s="98">
        <f t="shared" si="13"/>
        <v>0</v>
      </c>
      <c r="M60" s="150">
        <f t="shared" si="14"/>
        <v>0</v>
      </c>
      <c r="N60" s="151" t="str">
        <f t="shared" si="4"/>
        <v/>
      </c>
      <c r="O60" s="69"/>
    </row>
    <row r="61" spans="2:15" ht="15.75">
      <c r="B61" s="269" t="s">
        <v>59</v>
      </c>
      <c r="C61" s="270">
        <v>1</v>
      </c>
      <c r="D61" s="270">
        <v>1800</v>
      </c>
      <c r="E61" s="134">
        <f t="shared" si="11"/>
        <v>1800</v>
      </c>
      <c r="F61" s="64"/>
      <c r="G61" s="67"/>
      <c r="H61" s="150">
        <f t="shared" si="7"/>
        <v>0</v>
      </c>
      <c r="I61" s="151" t="str">
        <f t="shared" si="15"/>
        <v/>
      </c>
      <c r="J61" s="68"/>
      <c r="K61" s="17"/>
      <c r="L61" s="98">
        <f t="shared" si="13"/>
        <v>0</v>
      </c>
      <c r="M61" s="150">
        <f t="shared" si="14"/>
        <v>0</v>
      </c>
      <c r="N61" s="151" t="str">
        <f t="shared" si="4"/>
        <v/>
      </c>
      <c r="O61" s="69"/>
    </row>
    <row r="62" spans="2:15" ht="15.75">
      <c r="B62" s="272" t="s">
        <v>96</v>
      </c>
      <c r="C62" s="270">
        <v>1</v>
      </c>
      <c r="D62" s="270">
        <v>2500</v>
      </c>
      <c r="E62" s="134">
        <f t="shared" si="11"/>
        <v>2500</v>
      </c>
      <c r="F62" s="64"/>
      <c r="G62" s="67"/>
      <c r="H62" s="150">
        <f t="shared" si="7"/>
        <v>0</v>
      </c>
      <c r="I62" s="151" t="str">
        <f t="shared" si="15"/>
        <v/>
      </c>
      <c r="J62" s="68"/>
      <c r="K62" s="17"/>
      <c r="L62" s="98">
        <f t="shared" si="13"/>
        <v>0</v>
      </c>
      <c r="M62" s="150">
        <f t="shared" si="14"/>
        <v>0</v>
      </c>
      <c r="N62" s="151" t="str">
        <f t="shared" si="4"/>
        <v/>
      </c>
      <c r="O62" s="69"/>
    </row>
    <row r="63" spans="2:15" ht="15.75">
      <c r="B63" s="269" t="s">
        <v>276</v>
      </c>
      <c r="C63" s="270">
        <v>1</v>
      </c>
      <c r="D63" s="270">
        <v>4000</v>
      </c>
      <c r="E63" s="134">
        <f t="shared" si="11"/>
        <v>4000</v>
      </c>
      <c r="F63" s="64"/>
      <c r="G63" s="67"/>
      <c r="H63" s="150">
        <f t="shared" si="7"/>
        <v>0</v>
      </c>
      <c r="I63" s="151" t="str">
        <f t="shared" si="15"/>
        <v/>
      </c>
      <c r="J63" s="68"/>
      <c r="K63" s="17"/>
      <c r="L63" s="98">
        <f t="shared" si="13"/>
        <v>0</v>
      </c>
      <c r="M63" s="150">
        <f t="shared" si="14"/>
        <v>0</v>
      </c>
      <c r="N63" s="151" t="str">
        <f t="shared" si="4"/>
        <v/>
      </c>
      <c r="O63" s="69"/>
    </row>
    <row r="64" spans="2:15" ht="15.75">
      <c r="B64" s="269" t="s">
        <v>298</v>
      </c>
      <c r="C64" s="270">
        <v>1</v>
      </c>
      <c r="D64" s="270">
        <v>7000</v>
      </c>
      <c r="E64" s="134">
        <f t="shared" si="11"/>
        <v>7000</v>
      </c>
      <c r="F64" s="64"/>
      <c r="G64" s="67"/>
      <c r="H64" s="150">
        <f t="shared" si="7"/>
        <v>0</v>
      </c>
      <c r="I64" s="151" t="str">
        <f t="shared" si="15"/>
        <v/>
      </c>
      <c r="J64" s="68"/>
      <c r="K64" s="17"/>
      <c r="L64" s="98">
        <f t="shared" si="13"/>
        <v>0</v>
      </c>
      <c r="M64" s="150">
        <f t="shared" si="14"/>
        <v>0</v>
      </c>
      <c r="N64" s="151" t="str">
        <f t="shared" si="4"/>
        <v/>
      </c>
      <c r="O64" s="69"/>
    </row>
    <row r="65" spans="2:15" ht="62.25" customHeight="1">
      <c r="B65" s="272" t="s">
        <v>277</v>
      </c>
      <c r="C65" s="270">
        <v>1</v>
      </c>
      <c r="D65" s="270">
        <v>45000</v>
      </c>
      <c r="E65" s="134">
        <f t="shared" si="11"/>
        <v>45000</v>
      </c>
      <c r="F65" s="64"/>
      <c r="G65" s="67"/>
      <c r="H65" s="150">
        <f t="shared" si="7"/>
        <v>0</v>
      </c>
      <c r="I65" s="151" t="str">
        <f t="shared" si="15"/>
        <v/>
      </c>
      <c r="J65" s="68"/>
      <c r="K65" s="17"/>
      <c r="L65" s="98">
        <f t="shared" si="13"/>
        <v>0</v>
      </c>
      <c r="M65" s="150">
        <f t="shared" si="14"/>
        <v>0</v>
      </c>
      <c r="N65" s="151" t="str">
        <f t="shared" si="4"/>
        <v/>
      </c>
      <c r="O65" s="69"/>
    </row>
    <row r="66" spans="2:15" ht="15.75" customHeight="1">
      <c r="B66" s="590" t="s">
        <v>120</v>
      </c>
      <c r="C66" s="591"/>
      <c r="D66" s="591"/>
      <c r="E66" s="592"/>
      <c r="F66" s="64"/>
      <c r="G66" s="590" t="s">
        <v>120</v>
      </c>
      <c r="H66" s="591"/>
      <c r="I66" s="591"/>
      <c r="J66" s="592"/>
      <c r="K66" s="17"/>
      <c r="L66" s="590" t="s">
        <v>120</v>
      </c>
      <c r="M66" s="591"/>
      <c r="N66" s="591"/>
      <c r="O66" s="592"/>
    </row>
    <row r="67" spans="2:15" ht="15.75">
      <c r="B67" s="269" t="s">
        <v>60</v>
      </c>
      <c r="C67" s="270">
        <v>1</v>
      </c>
      <c r="D67" s="270">
        <v>450</v>
      </c>
      <c r="E67" s="134">
        <f t="shared" ref="E67:E69" si="16">D67*C67</f>
        <v>450</v>
      </c>
      <c r="F67" s="64"/>
      <c r="G67" s="67"/>
      <c r="H67" s="150">
        <f t="shared" si="7"/>
        <v>0</v>
      </c>
      <c r="I67" s="151" t="str">
        <f t="shared" ref="I67" si="17">IF(H67=0,"",IF(OR(H67-$E67&gt;0,H67-$E67&lt;0),(H67-$E67)/$E67,""))</f>
        <v/>
      </c>
      <c r="J67" s="68"/>
      <c r="K67" s="17"/>
      <c r="L67" s="98">
        <f>G67</f>
        <v>0</v>
      </c>
      <c r="M67" s="150">
        <f>IFERROR(L67*D67,"")</f>
        <v>0</v>
      </c>
      <c r="N67" s="151" t="str">
        <f t="shared" si="4"/>
        <v/>
      </c>
      <c r="O67" s="69"/>
    </row>
    <row r="68" spans="2:15" ht="30">
      <c r="B68" s="273" t="s">
        <v>441</v>
      </c>
      <c r="C68" s="270">
        <v>1</v>
      </c>
      <c r="D68" s="270">
        <v>5000</v>
      </c>
      <c r="E68" s="134">
        <f t="shared" si="16"/>
        <v>5000</v>
      </c>
      <c r="F68" s="64"/>
      <c r="G68" s="67"/>
      <c r="H68" s="150">
        <f t="shared" si="7"/>
        <v>0</v>
      </c>
      <c r="I68" s="151" t="str">
        <f t="shared" ref="I68:I69" si="18">IF(H68=0,"",IF(OR(H68-$E68&gt;0,H68-$E68&lt;0),(H68-$E68)/$E68,""))</f>
        <v/>
      </c>
      <c r="J68" s="68"/>
      <c r="K68" s="17"/>
      <c r="L68" s="98">
        <f t="shared" ref="L68:L69" si="19">G68</f>
        <v>0</v>
      </c>
      <c r="M68" s="150">
        <f t="shared" ref="M68:M69" si="20">IFERROR(L68*D68,"")</f>
        <v>0</v>
      </c>
      <c r="N68" s="151" t="str">
        <f t="shared" si="4"/>
        <v/>
      </c>
      <c r="O68" s="69"/>
    </row>
    <row r="69" spans="2:15" ht="17.25" customHeight="1">
      <c r="B69" s="286" t="s">
        <v>278</v>
      </c>
      <c r="C69" s="270">
        <v>1</v>
      </c>
      <c r="D69" s="270">
        <v>8000</v>
      </c>
      <c r="E69" s="134">
        <f t="shared" si="16"/>
        <v>8000</v>
      </c>
      <c r="F69" s="64"/>
      <c r="G69" s="67"/>
      <c r="H69" s="150">
        <f t="shared" si="7"/>
        <v>0</v>
      </c>
      <c r="I69" s="151" t="str">
        <f t="shared" si="18"/>
        <v/>
      </c>
      <c r="J69" s="68"/>
      <c r="K69" s="17"/>
      <c r="L69" s="98">
        <f t="shared" si="19"/>
        <v>0</v>
      </c>
      <c r="M69" s="150">
        <f t="shared" si="20"/>
        <v>0</v>
      </c>
      <c r="N69" s="151" t="str">
        <f t="shared" si="4"/>
        <v/>
      </c>
      <c r="O69" s="69"/>
    </row>
    <row r="70" spans="2:15" ht="15.75" customHeight="1">
      <c r="B70" s="590" t="s">
        <v>121</v>
      </c>
      <c r="C70" s="591"/>
      <c r="D70" s="591"/>
      <c r="E70" s="592"/>
      <c r="F70" s="64"/>
      <c r="G70" s="590" t="s">
        <v>121</v>
      </c>
      <c r="H70" s="591"/>
      <c r="I70" s="591"/>
      <c r="J70" s="592"/>
      <c r="K70" s="17"/>
      <c r="L70" s="590" t="s">
        <v>121</v>
      </c>
      <c r="M70" s="591"/>
      <c r="N70" s="591"/>
      <c r="O70" s="592"/>
    </row>
    <row r="71" spans="2:15" ht="15.75">
      <c r="B71" s="269" t="s">
        <v>68</v>
      </c>
      <c r="C71" s="270">
        <v>1</v>
      </c>
      <c r="D71" s="270">
        <v>450</v>
      </c>
      <c r="E71" s="134">
        <f t="shared" ref="E71:E78" si="21">D71*C71</f>
        <v>450</v>
      </c>
      <c r="F71" s="64"/>
      <c r="G71" s="67"/>
      <c r="H71" s="150">
        <f t="shared" ref="H71:H86" si="22">IFERROR(G71*D71,"")</f>
        <v>0</v>
      </c>
      <c r="I71" s="151" t="str">
        <f t="shared" ref="I71:I85" si="23">IF(H71=0,"",IF(OR(H71-$E71&gt;0,H71-$E71&lt;0),(H71-$E71)/$E71,""))</f>
        <v/>
      </c>
      <c r="J71" s="68"/>
      <c r="K71" s="17"/>
      <c r="L71" s="98">
        <f t="shared" ref="L71:L78" si="24">G71</f>
        <v>0</v>
      </c>
      <c r="M71" s="150">
        <f t="shared" ref="M71:M78" si="25">IFERROR(L71*D71,"")</f>
        <v>0</v>
      </c>
      <c r="N71" s="151" t="str">
        <f t="shared" ref="N71:N86" si="26">IFERROR(IF(M71=0,"",IF(OR(M71-$E71&gt;0,M71-$E71&lt;0),(M71-$E71)/$E71,"")),"")</f>
        <v/>
      </c>
      <c r="O71" s="69"/>
    </row>
    <row r="72" spans="2:15" ht="15.75">
      <c r="B72" s="269" t="s">
        <v>188</v>
      </c>
      <c r="C72" s="270">
        <v>1</v>
      </c>
      <c r="D72" s="270">
        <v>3000</v>
      </c>
      <c r="E72" s="134">
        <f t="shared" si="21"/>
        <v>3000</v>
      </c>
      <c r="F72" s="64"/>
      <c r="G72" s="67"/>
      <c r="H72" s="150">
        <f t="shared" si="22"/>
        <v>0</v>
      </c>
      <c r="I72" s="151" t="str">
        <f t="shared" ref="I72:I78" si="27">IF(H72=0,"",IF(OR(H72-$E72&gt;0,H72-$E72&lt;0),(H72-$E72)/$E72,""))</f>
        <v/>
      </c>
      <c r="J72" s="68"/>
      <c r="K72" s="17"/>
      <c r="L72" s="98">
        <f t="shared" si="24"/>
        <v>0</v>
      </c>
      <c r="M72" s="150">
        <f t="shared" si="25"/>
        <v>0</v>
      </c>
      <c r="N72" s="151" t="str">
        <f t="shared" si="26"/>
        <v/>
      </c>
      <c r="O72" s="69"/>
    </row>
    <row r="73" spans="2:15" ht="15.75">
      <c r="B73" s="269" t="s">
        <v>137</v>
      </c>
      <c r="C73" s="270">
        <v>1</v>
      </c>
      <c r="D73" s="270">
        <v>3500</v>
      </c>
      <c r="E73" s="134">
        <f t="shared" si="21"/>
        <v>3500</v>
      </c>
      <c r="F73" s="64"/>
      <c r="G73" s="67"/>
      <c r="H73" s="150">
        <f t="shared" si="22"/>
        <v>0</v>
      </c>
      <c r="I73" s="151" t="str">
        <f t="shared" si="27"/>
        <v/>
      </c>
      <c r="J73" s="68"/>
      <c r="K73" s="17"/>
      <c r="L73" s="98">
        <f t="shared" si="24"/>
        <v>0</v>
      </c>
      <c r="M73" s="150">
        <f t="shared" si="25"/>
        <v>0</v>
      </c>
      <c r="N73" s="151" t="str">
        <f t="shared" si="26"/>
        <v/>
      </c>
      <c r="O73" s="69"/>
    </row>
    <row r="74" spans="2:15" ht="15.75">
      <c r="B74" s="269" t="s">
        <v>138</v>
      </c>
      <c r="C74" s="270">
        <v>1</v>
      </c>
      <c r="D74" s="270">
        <v>3500</v>
      </c>
      <c r="E74" s="134">
        <f t="shared" si="21"/>
        <v>3500</v>
      </c>
      <c r="F74" s="64"/>
      <c r="G74" s="67"/>
      <c r="H74" s="150">
        <f t="shared" si="22"/>
        <v>0</v>
      </c>
      <c r="I74" s="151" t="str">
        <f t="shared" si="27"/>
        <v/>
      </c>
      <c r="J74" s="68"/>
      <c r="K74" s="17"/>
      <c r="L74" s="98">
        <f t="shared" si="24"/>
        <v>0</v>
      </c>
      <c r="M74" s="150">
        <f t="shared" si="25"/>
        <v>0</v>
      </c>
      <c r="N74" s="151" t="str">
        <f t="shared" si="26"/>
        <v/>
      </c>
      <c r="O74" s="69"/>
    </row>
    <row r="75" spans="2:15" ht="15.75">
      <c r="B75" s="269" t="s">
        <v>139</v>
      </c>
      <c r="C75" s="270">
        <v>1</v>
      </c>
      <c r="D75" s="270">
        <v>3500</v>
      </c>
      <c r="E75" s="134">
        <f t="shared" si="21"/>
        <v>3500</v>
      </c>
      <c r="F75" s="64"/>
      <c r="G75" s="67"/>
      <c r="H75" s="150">
        <f t="shared" si="22"/>
        <v>0</v>
      </c>
      <c r="I75" s="151" t="str">
        <f t="shared" si="27"/>
        <v/>
      </c>
      <c r="J75" s="68"/>
      <c r="K75" s="17"/>
      <c r="L75" s="98">
        <f t="shared" si="24"/>
        <v>0</v>
      </c>
      <c r="M75" s="150">
        <f t="shared" si="25"/>
        <v>0</v>
      </c>
      <c r="N75" s="151" t="str">
        <f t="shared" si="26"/>
        <v/>
      </c>
      <c r="O75" s="69"/>
    </row>
    <row r="76" spans="2:15" ht="15.75">
      <c r="B76" s="269" t="s">
        <v>140</v>
      </c>
      <c r="C76" s="270">
        <v>1</v>
      </c>
      <c r="D76" s="270">
        <v>2000</v>
      </c>
      <c r="E76" s="134">
        <f t="shared" si="21"/>
        <v>2000</v>
      </c>
      <c r="F76" s="64"/>
      <c r="G76" s="67"/>
      <c r="H76" s="150">
        <f t="shared" si="22"/>
        <v>0</v>
      </c>
      <c r="I76" s="151" t="str">
        <f t="shared" si="27"/>
        <v/>
      </c>
      <c r="J76" s="68"/>
      <c r="K76" s="17"/>
      <c r="L76" s="98">
        <f t="shared" si="24"/>
        <v>0</v>
      </c>
      <c r="M76" s="150">
        <f t="shared" si="25"/>
        <v>0</v>
      </c>
      <c r="N76" s="151" t="str">
        <f t="shared" si="26"/>
        <v/>
      </c>
      <c r="O76" s="69"/>
    </row>
    <row r="77" spans="2:15" ht="30">
      <c r="B77" s="269" t="s">
        <v>141</v>
      </c>
      <c r="C77" s="270">
        <v>1</v>
      </c>
      <c r="D77" s="270">
        <v>1200</v>
      </c>
      <c r="E77" s="134">
        <f t="shared" si="21"/>
        <v>1200</v>
      </c>
      <c r="F77" s="64"/>
      <c r="G77" s="67"/>
      <c r="H77" s="150">
        <f t="shared" si="22"/>
        <v>0</v>
      </c>
      <c r="I77" s="151" t="str">
        <f t="shared" si="27"/>
        <v/>
      </c>
      <c r="J77" s="68"/>
      <c r="K77" s="17"/>
      <c r="L77" s="98">
        <f t="shared" si="24"/>
        <v>0</v>
      </c>
      <c r="M77" s="150">
        <f t="shared" si="25"/>
        <v>0</v>
      </c>
      <c r="N77" s="151" t="str">
        <f t="shared" si="26"/>
        <v/>
      </c>
      <c r="O77" s="69"/>
    </row>
    <row r="78" spans="2:15" ht="16.5" customHeight="1">
      <c r="B78" s="269" t="s">
        <v>142</v>
      </c>
      <c r="C78" s="270">
        <v>3</v>
      </c>
      <c r="D78" s="270">
        <v>3000</v>
      </c>
      <c r="E78" s="134">
        <f t="shared" si="21"/>
        <v>9000</v>
      </c>
      <c r="F78" s="64"/>
      <c r="G78" s="67"/>
      <c r="H78" s="150">
        <f t="shared" si="22"/>
        <v>0</v>
      </c>
      <c r="I78" s="151" t="str">
        <f t="shared" si="27"/>
        <v/>
      </c>
      <c r="J78" s="68"/>
      <c r="K78" s="17"/>
      <c r="L78" s="98">
        <f t="shared" si="24"/>
        <v>0</v>
      </c>
      <c r="M78" s="150">
        <f t="shared" si="25"/>
        <v>0</v>
      </c>
      <c r="N78" s="151" t="str">
        <f t="shared" si="26"/>
        <v/>
      </c>
      <c r="O78" s="69"/>
    </row>
    <row r="79" spans="2:15" ht="15.75" customHeight="1">
      <c r="B79" s="590" t="s">
        <v>122</v>
      </c>
      <c r="C79" s="591"/>
      <c r="D79" s="591"/>
      <c r="E79" s="592"/>
      <c r="F79" s="64"/>
      <c r="G79" s="590" t="s">
        <v>122</v>
      </c>
      <c r="H79" s="591"/>
      <c r="I79" s="591"/>
      <c r="J79" s="592"/>
      <c r="K79" s="17"/>
      <c r="L79" s="590" t="s">
        <v>122</v>
      </c>
      <c r="M79" s="591"/>
      <c r="N79" s="591"/>
      <c r="O79" s="592"/>
    </row>
    <row r="80" spans="2:15" ht="15.75">
      <c r="B80" s="269" t="s">
        <v>97</v>
      </c>
      <c r="C80" s="270">
        <v>1</v>
      </c>
      <c r="D80" s="270">
        <v>2000</v>
      </c>
      <c r="E80" s="134">
        <f t="shared" ref="E80:E83" si="28">D80*C80</f>
        <v>2000</v>
      </c>
      <c r="F80" s="64"/>
      <c r="G80" s="67"/>
      <c r="H80" s="150">
        <f t="shared" si="22"/>
        <v>0</v>
      </c>
      <c r="I80" s="151" t="str">
        <f t="shared" si="23"/>
        <v/>
      </c>
      <c r="J80" s="68"/>
      <c r="K80" s="17"/>
      <c r="L80" s="98">
        <f>G80</f>
        <v>0</v>
      </c>
      <c r="M80" s="150">
        <f>IFERROR(L80*D80,"")</f>
        <v>0</v>
      </c>
      <c r="N80" s="151" t="str">
        <f t="shared" si="26"/>
        <v/>
      </c>
      <c r="O80" s="69"/>
    </row>
    <row r="81" spans="2:15" ht="18" customHeight="1">
      <c r="B81" s="269" t="s">
        <v>69</v>
      </c>
      <c r="C81" s="270">
        <v>1</v>
      </c>
      <c r="D81" s="270">
        <v>2500</v>
      </c>
      <c r="E81" s="134">
        <f t="shared" si="28"/>
        <v>2500</v>
      </c>
      <c r="F81" s="64"/>
      <c r="G81" s="67"/>
      <c r="H81" s="150">
        <f t="shared" si="22"/>
        <v>0</v>
      </c>
      <c r="I81" s="151" t="str">
        <f t="shared" ref="I81:I83" si="29">IF(H81=0,"",IF(OR(H81-$E81&gt;0,H81-$E81&lt;0),(H81-$E81)/$E81,""))</f>
        <v/>
      </c>
      <c r="J81" s="68"/>
      <c r="K81" s="17"/>
      <c r="L81" s="98">
        <f t="shared" ref="L81:L83" si="30">G81</f>
        <v>0</v>
      </c>
      <c r="M81" s="150">
        <f t="shared" ref="M81:M83" si="31">IFERROR(L81*D81,"")</f>
        <v>0</v>
      </c>
      <c r="N81" s="151" t="str">
        <f t="shared" si="26"/>
        <v/>
      </c>
      <c r="O81" s="69"/>
    </row>
    <row r="82" spans="2:15" ht="15.75">
      <c r="B82" s="269" t="s">
        <v>70</v>
      </c>
      <c r="C82" s="270">
        <v>1</v>
      </c>
      <c r="D82" s="270">
        <v>6500</v>
      </c>
      <c r="E82" s="134">
        <f t="shared" si="28"/>
        <v>6500</v>
      </c>
      <c r="F82" s="64"/>
      <c r="G82" s="67"/>
      <c r="H82" s="150">
        <f t="shared" si="22"/>
        <v>0</v>
      </c>
      <c r="I82" s="151" t="str">
        <f t="shared" si="29"/>
        <v/>
      </c>
      <c r="J82" s="68"/>
      <c r="K82" s="17"/>
      <c r="L82" s="98">
        <f t="shared" si="30"/>
        <v>0</v>
      </c>
      <c r="M82" s="150">
        <f t="shared" si="31"/>
        <v>0</v>
      </c>
      <c r="N82" s="151" t="str">
        <f t="shared" si="26"/>
        <v/>
      </c>
      <c r="O82" s="69"/>
    </row>
    <row r="83" spans="2:15" ht="30">
      <c r="B83" s="273" t="s">
        <v>279</v>
      </c>
      <c r="C83" s="270">
        <v>1</v>
      </c>
      <c r="D83" s="270">
        <v>500</v>
      </c>
      <c r="E83" s="134">
        <f t="shared" si="28"/>
        <v>500</v>
      </c>
      <c r="F83" s="64"/>
      <c r="G83" s="67"/>
      <c r="H83" s="150">
        <f t="shared" si="22"/>
        <v>0</v>
      </c>
      <c r="I83" s="151" t="str">
        <f t="shared" si="29"/>
        <v/>
      </c>
      <c r="J83" s="68"/>
      <c r="K83" s="17"/>
      <c r="L83" s="98">
        <f t="shared" si="30"/>
        <v>0</v>
      </c>
      <c r="M83" s="150">
        <f t="shared" si="31"/>
        <v>0</v>
      </c>
      <c r="N83" s="151" t="str">
        <f t="shared" si="26"/>
        <v/>
      </c>
      <c r="O83" s="69"/>
    </row>
    <row r="84" spans="2:15" ht="15.75" customHeight="1">
      <c r="B84" s="590" t="s">
        <v>123</v>
      </c>
      <c r="C84" s="591"/>
      <c r="D84" s="591"/>
      <c r="E84" s="592"/>
      <c r="F84" s="64"/>
      <c r="G84" s="590" t="s">
        <v>123</v>
      </c>
      <c r="H84" s="591"/>
      <c r="I84" s="591"/>
      <c r="J84" s="592"/>
      <c r="K84" s="17"/>
      <c r="L84" s="590" t="s">
        <v>123</v>
      </c>
      <c r="M84" s="591"/>
      <c r="N84" s="591"/>
      <c r="O84" s="592"/>
    </row>
    <row r="85" spans="2:15" ht="21" customHeight="1">
      <c r="B85" s="269" t="s">
        <v>143</v>
      </c>
      <c r="C85" s="270">
        <v>1</v>
      </c>
      <c r="D85" s="270">
        <v>3000</v>
      </c>
      <c r="E85" s="134">
        <f t="shared" ref="E85:E86" si="32">D85*C85</f>
        <v>3000</v>
      </c>
      <c r="F85" s="64"/>
      <c r="G85" s="67"/>
      <c r="H85" s="150">
        <f t="shared" si="22"/>
        <v>0</v>
      </c>
      <c r="I85" s="151" t="str">
        <f t="shared" si="23"/>
        <v/>
      </c>
      <c r="J85" s="68"/>
      <c r="K85" s="17"/>
      <c r="L85" s="98">
        <f>G85</f>
        <v>0</v>
      </c>
      <c r="M85" s="150">
        <f>IFERROR(L85*D85,"")</f>
        <v>0</v>
      </c>
      <c r="N85" s="151" t="str">
        <f t="shared" si="26"/>
        <v/>
      </c>
      <c r="O85" s="69"/>
    </row>
    <row r="86" spans="2:15" ht="15.75">
      <c r="B86" s="269" t="s">
        <v>189</v>
      </c>
      <c r="C86" s="270">
        <v>1</v>
      </c>
      <c r="D86" s="270">
        <v>1500</v>
      </c>
      <c r="E86" s="134">
        <f t="shared" si="32"/>
        <v>1500</v>
      </c>
      <c r="F86" s="64"/>
      <c r="G86" s="67"/>
      <c r="H86" s="150">
        <f t="shared" si="22"/>
        <v>0</v>
      </c>
      <c r="I86" s="151" t="str">
        <f t="shared" ref="I86" si="33">IF(H86=0,"",IF(OR(H86-$E86&gt;0,H86-$E86&lt;0),(H86-$E86)/$E86,""))</f>
        <v/>
      </c>
      <c r="J86" s="68"/>
      <c r="K86" s="17"/>
      <c r="L86" s="98">
        <f>G86</f>
        <v>0</v>
      </c>
      <c r="M86" s="150">
        <f>IFERROR(L86*D86,"")</f>
        <v>0</v>
      </c>
      <c r="N86" s="151" t="str">
        <f t="shared" si="26"/>
        <v/>
      </c>
      <c r="O86" s="69"/>
    </row>
    <row r="87" spans="2:15" ht="18">
      <c r="B87" s="440"/>
      <c r="C87" s="440"/>
      <c r="D87" s="440"/>
      <c r="E87" s="440"/>
      <c r="F87" s="441"/>
      <c r="G87" s="437" t="s">
        <v>9</v>
      </c>
      <c r="H87" s="442">
        <f>SUM(H14:H86)</f>
        <v>0</v>
      </c>
      <c r="I87" s="588"/>
      <c r="J87" s="589"/>
      <c r="K87" s="16"/>
      <c r="L87" s="437" t="s">
        <v>9</v>
      </c>
      <c r="M87" s="438">
        <f>SUM(M14:M86)</f>
        <v>0</v>
      </c>
      <c r="N87" s="588"/>
      <c r="O87" s="589"/>
    </row>
  </sheetData>
  <sheetProtection algorithmName="SHA-512" hashValue="VOrmM2GzfxZiaXFe0R0TJlHgp8GBDlRBLkk/Qo8AENEfqxUR9CChRtTHrTvSWOugplZXKiCoC9HARgZtUdh/Bg==" saltValue="PkQIaOr1V5gd2SQMFi1Vgg==" spinCount="100000" sheet="1" autoFilter="0"/>
  <autoFilter ref="B12:B98" xr:uid="{00000000-0009-0000-0000-000006000000}"/>
  <mergeCells count="28">
    <mergeCell ref="B70:E70"/>
    <mergeCell ref="B84:E84"/>
    <mergeCell ref="G84:J84"/>
    <mergeCell ref="L84:O84"/>
    <mergeCell ref="L79:O79"/>
    <mergeCell ref="G79:J79"/>
    <mergeCell ref="B79:E79"/>
    <mergeCell ref="B2:O2"/>
    <mergeCell ref="L11:O11"/>
    <mergeCell ref="B3:O3"/>
    <mergeCell ref="B11:E11"/>
    <mergeCell ref="G11:J11"/>
    <mergeCell ref="I87:J87"/>
    <mergeCell ref="N87:O87"/>
    <mergeCell ref="B22:E22"/>
    <mergeCell ref="G22:J22"/>
    <mergeCell ref="B13:E13"/>
    <mergeCell ref="G13:J13"/>
    <mergeCell ref="L13:O13"/>
    <mergeCell ref="L22:O22"/>
    <mergeCell ref="G47:J47"/>
    <mergeCell ref="L47:O47"/>
    <mergeCell ref="B47:E47"/>
    <mergeCell ref="B66:E66"/>
    <mergeCell ref="G66:J66"/>
    <mergeCell ref="L66:O66"/>
    <mergeCell ref="L70:O70"/>
    <mergeCell ref="G70:J70"/>
  </mergeCells>
  <conditionalFormatting sqref="I14:I21 N14:N21 I23:I46 N23:N46 I48:I65 N48:N65 I67:I69 N67:N69 I71:I78 N71:N78 I80:I83 N80:N83 I85:I86 N85:N86">
    <cfRule type="cellIs" dxfId="9" priority="1" operator="greaterThan">
      <formula>0</formula>
    </cfRule>
  </conditionalFormatting>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12"/>
  <dimension ref="A1:U30"/>
  <sheetViews>
    <sheetView showGridLines="0" rightToLeft="1" workbookViewId="0">
      <selection activeCell="G13" sqref="G13"/>
    </sheetView>
  </sheetViews>
  <sheetFormatPr defaultColWidth="9" defaultRowHeight="14.25"/>
  <cols>
    <col min="1" max="1" width="2.875" style="77" customWidth="1"/>
    <col min="2" max="2" width="40.625" style="77" customWidth="1"/>
    <col min="3" max="3" width="10.625" style="77" customWidth="1"/>
    <col min="4" max="4" width="15.625" style="77" customWidth="1"/>
    <col min="5" max="5" width="12.125" style="77" customWidth="1"/>
    <col min="6" max="6" width="13.25" style="77" customWidth="1"/>
    <col min="7" max="7" width="13.875" style="77" customWidth="1"/>
    <col min="8" max="8" width="14.75" style="77" customWidth="1"/>
    <col min="9" max="9" width="9" style="77"/>
    <col min="10" max="10" width="10.875" style="77" customWidth="1"/>
    <col min="11" max="11" width="9" style="77"/>
    <col min="12" max="12" width="9.375" style="77" customWidth="1"/>
    <col min="13" max="13" width="14.375" style="77" customWidth="1"/>
    <col min="14" max="14" width="9" style="77"/>
    <col min="15" max="15" width="18" style="77" customWidth="1"/>
    <col min="16" max="16384" width="9" style="78"/>
  </cols>
  <sheetData>
    <row r="1" spans="1:21" s="61" customFormat="1" ht="18.75" thickBot="1">
      <c r="A1" s="71"/>
      <c r="B1" s="15"/>
      <c r="C1" s="15"/>
      <c r="D1" s="15"/>
      <c r="E1" s="15"/>
      <c r="F1" s="15"/>
      <c r="G1" s="15"/>
      <c r="H1" s="15"/>
      <c r="I1" s="15"/>
      <c r="J1" s="15"/>
      <c r="K1" s="15"/>
      <c r="L1" s="15"/>
      <c r="M1" s="15"/>
      <c r="N1" s="15"/>
      <c r="O1" s="15"/>
    </row>
    <row r="2" spans="1:21" s="62" customFormat="1" ht="24.95" customHeight="1" thickBot="1">
      <c r="A2" s="275"/>
      <c r="B2" s="603" t="s">
        <v>144</v>
      </c>
      <c r="C2" s="604"/>
      <c r="D2" s="604"/>
      <c r="E2" s="604"/>
      <c r="F2" s="604"/>
      <c r="G2" s="604"/>
      <c r="H2" s="604"/>
      <c r="I2" s="604"/>
      <c r="J2" s="604"/>
      <c r="K2" s="604"/>
      <c r="L2" s="604"/>
      <c r="M2" s="604"/>
      <c r="N2" s="604"/>
      <c r="O2" s="605"/>
    </row>
    <row r="3" spans="1:21" s="62" customFormat="1" ht="24.95" customHeight="1" thickBot="1">
      <c r="A3" s="349"/>
      <c r="B3" s="606" t="s">
        <v>92</v>
      </c>
      <c r="C3" s="606"/>
      <c r="D3" s="606"/>
      <c r="E3" s="606"/>
      <c r="F3" s="606"/>
      <c r="G3" s="606"/>
      <c r="H3" s="606"/>
      <c r="I3" s="606"/>
      <c r="J3" s="606"/>
      <c r="K3" s="606"/>
      <c r="L3" s="606"/>
      <c r="M3" s="606"/>
      <c r="N3" s="606"/>
      <c r="O3" s="606"/>
      <c r="P3" s="350"/>
    </row>
    <row r="4" spans="1:21" s="62" customFormat="1" ht="15" customHeight="1">
      <c r="A4" s="276"/>
      <c r="B4" s="137" t="s">
        <v>164</v>
      </c>
      <c r="C4" s="277"/>
      <c r="D4" s="277"/>
      <c r="E4" s="277"/>
      <c r="F4" s="277"/>
      <c r="G4" s="277"/>
      <c r="H4" s="277"/>
      <c r="I4" s="277"/>
      <c r="J4" s="277"/>
      <c r="K4" s="277"/>
      <c r="L4" s="277"/>
      <c r="M4" s="277"/>
      <c r="N4" s="277"/>
      <c r="O4" s="278"/>
      <c r="P4" s="72"/>
      <c r="Q4" s="72"/>
      <c r="R4" s="72"/>
      <c r="S4" s="72"/>
      <c r="T4" s="72"/>
      <c r="U4" s="72"/>
    </row>
    <row r="5" spans="1:21" s="62" customFormat="1" ht="15" customHeight="1">
      <c r="A5" s="276"/>
      <c r="B5" s="111" t="s">
        <v>345</v>
      </c>
      <c r="C5" s="348"/>
      <c r="D5" s="348"/>
      <c r="E5" s="348"/>
      <c r="F5" s="348"/>
      <c r="G5" s="348"/>
      <c r="H5" s="348"/>
      <c r="I5" s="348"/>
      <c r="J5" s="348"/>
      <c r="K5" s="348"/>
      <c r="L5" s="348"/>
      <c r="M5" s="348"/>
      <c r="N5" s="348"/>
      <c r="O5" s="279"/>
      <c r="P5" s="72"/>
      <c r="Q5" s="72"/>
      <c r="R5" s="72"/>
      <c r="S5" s="72"/>
      <c r="T5" s="72"/>
      <c r="U5" s="72"/>
    </row>
    <row r="6" spans="1:21" s="62" customFormat="1" ht="15" customHeight="1">
      <c r="A6" s="276"/>
      <c r="B6" s="143" t="s">
        <v>457</v>
      </c>
      <c r="C6" s="348"/>
      <c r="D6" s="348"/>
      <c r="E6" s="348"/>
      <c r="F6" s="348"/>
      <c r="G6" s="348"/>
      <c r="H6" s="348"/>
      <c r="I6" s="348"/>
      <c r="J6" s="348"/>
      <c r="K6" s="348"/>
      <c r="L6" s="348"/>
      <c r="M6" s="348"/>
      <c r="N6" s="348"/>
      <c r="O6" s="279"/>
      <c r="P6" s="72"/>
      <c r="Q6" s="72"/>
      <c r="R6" s="72"/>
      <c r="S6" s="72"/>
      <c r="T6" s="72"/>
      <c r="U6" s="72"/>
    </row>
    <row r="7" spans="1:21" s="62" customFormat="1" ht="15" customHeight="1">
      <c r="A7" s="276"/>
      <c r="B7" s="143" t="s">
        <v>75</v>
      </c>
      <c r="C7" s="348"/>
      <c r="D7" s="348"/>
      <c r="E7" s="348"/>
      <c r="F7" s="348"/>
      <c r="G7" s="348"/>
      <c r="H7" s="348"/>
      <c r="I7" s="348"/>
      <c r="J7" s="348"/>
      <c r="K7" s="348"/>
      <c r="L7" s="348"/>
      <c r="M7" s="348"/>
      <c r="N7" s="348"/>
      <c r="O7" s="279"/>
      <c r="P7" s="72"/>
      <c r="Q7" s="72"/>
      <c r="R7" s="72"/>
      <c r="S7" s="72"/>
      <c r="T7" s="72"/>
      <c r="U7" s="72"/>
    </row>
    <row r="8" spans="1:21" s="62" customFormat="1" ht="15" customHeight="1">
      <c r="A8" s="276"/>
      <c r="B8" s="89" t="s">
        <v>161</v>
      </c>
      <c r="C8" s="348"/>
      <c r="D8" s="348"/>
      <c r="E8" s="348"/>
      <c r="F8" s="348"/>
      <c r="G8" s="348"/>
      <c r="H8" s="348"/>
      <c r="I8" s="348"/>
      <c r="J8" s="348"/>
      <c r="K8" s="348"/>
      <c r="L8" s="348"/>
      <c r="M8" s="348"/>
      <c r="N8" s="348"/>
      <c r="O8" s="279"/>
      <c r="P8" s="72"/>
      <c r="Q8" s="72"/>
      <c r="R8" s="72"/>
      <c r="S8" s="72"/>
      <c r="T8" s="72"/>
      <c r="U8" s="72"/>
    </row>
    <row r="9" spans="1:21" s="62" customFormat="1" ht="15.75" customHeight="1" thickBot="1">
      <c r="A9" s="276"/>
      <c r="B9" s="144" t="s">
        <v>348</v>
      </c>
      <c r="C9" s="280"/>
      <c r="D9" s="280"/>
      <c r="E9" s="280"/>
      <c r="F9" s="280"/>
      <c r="G9" s="280"/>
      <c r="H9" s="280"/>
      <c r="I9" s="280"/>
      <c r="J9" s="280"/>
      <c r="K9" s="280"/>
      <c r="L9" s="280"/>
      <c r="M9" s="280"/>
      <c r="N9" s="280"/>
      <c r="O9" s="281"/>
      <c r="P9" s="72"/>
      <c r="Q9" s="72"/>
      <c r="R9" s="72"/>
      <c r="S9" s="72"/>
      <c r="T9" s="72"/>
      <c r="U9" s="72"/>
    </row>
    <row r="10" spans="1:21" s="62" customFormat="1">
      <c r="A10" s="73"/>
      <c r="B10" s="73"/>
      <c r="C10" s="73"/>
      <c r="D10" s="73"/>
      <c r="E10" s="73"/>
      <c r="F10" s="73"/>
      <c r="G10" s="73"/>
      <c r="H10" s="73"/>
      <c r="I10" s="73"/>
      <c r="J10" s="73"/>
      <c r="K10" s="73"/>
      <c r="L10" s="73"/>
      <c r="M10" s="73"/>
      <c r="N10" s="73"/>
      <c r="O10" s="73"/>
    </row>
    <row r="11" spans="1:21" s="70" customFormat="1" ht="18" customHeight="1">
      <c r="A11" s="282"/>
      <c r="B11" s="597" t="s">
        <v>145</v>
      </c>
      <c r="C11" s="598"/>
      <c r="D11" s="598"/>
      <c r="E11" s="599"/>
      <c r="F11" s="282"/>
      <c r="G11" s="600" t="s">
        <v>87</v>
      </c>
      <c r="H11" s="601"/>
      <c r="I11" s="601"/>
      <c r="J11" s="602"/>
      <c r="K11" s="16"/>
      <c r="L11" s="551" t="s">
        <v>330</v>
      </c>
      <c r="M11" s="552"/>
      <c r="N11" s="552"/>
      <c r="O11" s="553"/>
    </row>
    <row r="12" spans="1:21" s="70" customFormat="1" ht="31.5">
      <c r="A12" s="64"/>
      <c r="B12" s="283" t="s">
        <v>99</v>
      </c>
      <c r="C12" s="284" t="s">
        <v>100</v>
      </c>
      <c r="D12" s="284" t="s">
        <v>47</v>
      </c>
      <c r="E12" s="284" t="s">
        <v>101</v>
      </c>
      <c r="F12" s="64"/>
      <c r="G12" s="65" t="s">
        <v>102</v>
      </c>
      <c r="H12" s="65" t="s">
        <v>127</v>
      </c>
      <c r="I12" s="66" t="s">
        <v>89</v>
      </c>
      <c r="J12" s="63" t="s">
        <v>104</v>
      </c>
      <c r="K12" s="17"/>
      <c r="L12" s="65" t="s">
        <v>105</v>
      </c>
      <c r="M12" s="65" t="s">
        <v>128</v>
      </c>
      <c r="N12" s="63" t="s">
        <v>89</v>
      </c>
      <c r="O12" s="63" t="s">
        <v>129</v>
      </c>
    </row>
    <row r="13" spans="1:21" s="70" customFormat="1" ht="30">
      <c r="A13" s="64"/>
      <c r="B13" s="285" t="s">
        <v>280</v>
      </c>
      <c r="C13" s="285">
        <v>1</v>
      </c>
      <c r="D13" s="285">
        <v>1000</v>
      </c>
      <c r="E13" s="270">
        <f t="shared" ref="E13:E18" si="0">C13*D13</f>
        <v>1000</v>
      </c>
      <c r="F13" s="64"/>
      <c r="G13" s="74"/>
      <c r="H13" s="97">
        <f t="shared" ref="H13" si="1">G13*D13</f>
        <v>0</v>
      </c>
      <c r="I13" s="76" t="str">
        <f t="shared" ref="I13" si="2">IF(H13=0,"",IF(OR(H13-$E13&gt;0,H13-$E13&lt;0),(H13-$E13)/$E13,""))</f>
        <v/>
      </c>
      <c r="J13" s="75"/>
      <c r="K13" s="17"/>
      <c r="L13" s="152">
        <f t="shared" ref="L13:L18" si="3">G13</f>
        <v>0</v>
      </c>
      <c r="M13" s="97">
        <f t="shared" ref="M13:M18" si="4">L13*D13</f>
        <v>0</v>
      </c>
      <c r="N13" s="76" t="str">
        <f t="shared" ref="N13:N18" si="5">IFERROR(IF(M13=0,"",IF(OR(M13-$E13&gt;0,M13-$E13&lt;0),(M13-$E13)/$E13,"")),"")</f>
        <v/>
      </c>
      <c r="O13" s="153"/>
    </row>
    <row r="14" spans="1:21" s="70" customFormat="1" ht="35.25" customHeight="1">
      <c r="A14" s="64"/>
      <c r="B14" s="285" t="s">
        <v>223</v>
      </c>
      <c r="C14" s="285">
        <v>1</v>
      </c>
      <c r="D14" s="285">
        <v>1500</v>
      </c>
      <c r="E14" s="270">
        <f t="shared" si="0"/>
        <v>1500</v>
      </c>
      <c r="F14" s="64"/>
      <c r="G14" s="74"/>
      <c r="H14" s="97">
        <f t="shared" ref="H14:H18" si="6">G14*D14</f>
        <v>0</v>
      </c>
      <c r="I14" s="76" t="str">
        <f t="shared" ref="I14:I18" si="7">IF(H14=0,"",IF(OR(H14-$E14&gt;0,H14-$E14&lt;0),(H14-$E14)/$E14,""))</f>
        <v/>
      </c>
      <c r="J14" s="75"/>
      <c r="K14" s="17"/>
      <c r="L14" s="152">
        <f t="shared" si="3"/>
        <v>0</v>
      </c>
      <c r="M14" s="97">
        <f t="shared" si="4"/>
        <v>0</v>
      </c>
      <c r="N14" s="76" t="str">
        <f t="shared" si="5"/>
        <v/>
      </c>
      <c r="O14" s="153"/>
    </row>
    <row r="15" spans="1:21" s="70" customFormat="1" ht="49.5" customHeight="1">
      <c r="A15" s="64"/>
      <c r="B15" s="285" t="s">
        <v>281</v>
      </c>
      <c r="C15" s="285">
        <v>1</v>
      </c>
      <c r="D15" s="285">
        <v>3000</v>
      </c>
      <c r="E15" s="270">
        <f t="shared" si="0"/>
        <v>3000</v>
      </c>
      <c r="F15" s="64"/>
      <c r="G15" s="74"/>
      <c r="H15" s="97">
        <f t="shared" si="6"/>
        <v>0</v>
      </c>
      <c r="I15" s="76" t="str">
        <f t="shared" si="7"/>
        <v/>
      </c>
      <c r="J15" s="75"/>
      <c r="K15" s="17"/>
      <c r="L15" s="152">
        <f t="shared" si="3"/>
        <v>0</v>
      </c>
      <c r="M15" s="97">
        <f t="shared" si="4"/>
        <v>0</v>
      </c>
      <c r="N15" s="76" t="str">
        <f t="shared" si="5"/>
        <v/>
      </c>
      <c r="O15" s="153"/>
    </row>
    <row r="16" spans="1:21" s="70" customFormat="1" ht="15.75">
      <c r="A16" s="64"/>
      <c r="B16" s="285" t="s">
        <v>222</v>
      </c>
      <c r="C16" s="285">
        <v>1</v>
      </c>
      <c r="D16" s="285">
        <v>1000</v>
      </c>
      <c r="E16" s="270">
        <f t="shared" si="0"/>
        <v>1000</v>
      </c>
      <c r="F16" s="64"/>
      <c r="G16" s="74"/>
      <c r="H16" s="97">
        <f t="shared" si="6"/>
        <v>0</v>
      </c>
      <c r="I16" s="76" t="str">
        <f t="shared" si="7"/>
        <v/>
      </c>
      <c r="J16" s="75"/>
      <c r="K16" s="17"/>
      <c r="L16" s="152">
        <f t="shared" si="3"/>
        <v>0</v>
      </c>
      <c r="M16" s="97">
        <f t="shared" si="4"/>
        <v>0</v>
      </c>
      <c r="N16" s="76" t="str">
        <f t="shared" si="5"/>
        <v/>
      </c>
      <c r="O16" s="153"/>
    </row>
    <row r="17" spans="1:15" s="70" customFormat="1" ht="15.75">
      <c r="A17" s="64"/>
      <c r="B17" s="285" t="s">
        <v>224</v>
      </c>
      <c r="C17" s="285">
        <v>1</v>
      </c>
      <c r="D17" s="285">
        <v>600</v>
      </c>
      <c r="E17" s="270">
        <f t="shared" si="0"/>
        <v>600</v>
      </c>
      <c r="F17" s="64"/>
      <c r="G17" s="74"/>
      <c r="H17" s="97">
        <f t="shared" si="6"/>
        <v>0</v>
      </c>
      <c r="I17" s="76" t="str">
        <f t="shared" si="7"/>
        <v/>
      </c>
      <c r="J17" s="75"/>
      <c r="K17" s="17"/>
      <c r="L17" s="152">
        <f t="shared" si="3"/>
        <v>0</v>
      </c>
      <c r="M17" s="97">
        <f t="shared" si="4"/>
        <v>0</v>
      </c>
      <c r="N17" s="76" t="str">
        <f t="shared" si="5"/>
        <v/>
      </c>
      <c r="O17" s="153"/>
    </row>
    <row r="18" spans="1:15" s="70" customFormat="1" ht="15.75">
      <c r="A18" s="64"/>
      <c r="B18" s="285" t="s">
        <v>225</v>
      </c>
      <c r="C18" s="270">
        <v>3</v>
      </c>
      <c r="D18" s="270">
        <v>700</v>
      </c>
      <c r="E18" s="270">
        <f t="shared" si="0"/>
        <v>2100</v>
      </c>
      <c r="F18" s="64"/>
      <c r="G18" s="74"/>
      <c r="H18" s="97">
        <f t="shared" si="6"/>
        <v>0</v>
      </c>
      <c r="I18" s="76" t="str">
        <f t="shared" si="7"/>
        <v/>
      </c>
      <c r="J18" s="75"/>
      <c r="K18" s="17"/>
      <c r="L18" s="152">
        <f t="shared" si="3"/>
        <v>0</v>
      </c>
      <c r="M18" s="97">
        <f t="shared" si="4"/>
        <v>0</v>
      </c>
      <c r="N18" s="76" t="str">
        <f t="shared" si="5"/>
        <v/>
      </c>
      <c r="O18" s="153"/>
    </row>
    <row r="19" spans="1:15" s="70" customFormat="1" ht="15.75">
      <c r="A19" s="64"/>
      <c r="B19" s="607" t="s">
        <v>10</v>
      </c>
      <c r="C19" s="608"/>
      <c r="D19" s="608"/>
      <c r="E19" s="609"/>
      <c r="F19" s="64"/>
      <c r="G19" s="607" t="s">
        <v>10</v>
      </c>
      <c r="H19" s="608"/>
      <c r="I19" s="608"/>
      <c r="J19" s="609"/>
      <c r="K19" s="96"/>
      <c r="L19" s="607" t="s">
        <v>10</v>
      </c>
      <c r="M19" s="608"/>
      <c r="N19" s="608"/>
      <c r="O19" s="609"/>
    </row>
    <row r="20" spans="1:15" s="70" customFormat="1" ht="15.75">
      <c r="A20" s="64"/>
      <c r="B20" s="286" t="s">
        <v>226</v>
      </c>
      <c r="C20" s="287">
        <v>50</v>
      </c>
      <c r="D20" s="270">
        <v>350</v>
      </c>
      <c r="E20" s="270">
        <f>C20*D20</f>
        <v>17500</v>
      </c>
      <c r="F20" s="64"/>
      <c r="G20" s="74"/>
      <c r="H20" s="97">
        <f t="shared" ref="H20" si="8">G20*D20</f>
        <v>0</v>
      </c>
      <c r="I20" s="76" t="str">
        <f t="shared" ref="I20" si="9">IF(H20=0,"",IF(OR(H20-$E20&gt;0,H20-$E20&lt;0),(H20-$E20)/$E20,""))</f>
        <v/>
      </c>
      <c r="J20" s="75"/>
      <c r="K20" s="17"/>
      <c r="L20" s="152">
        <f t="shared" ref="L20:L29" si="10">G20</f>
        <v>0</v>
      </c>
      <c r="M20" s="97">
        <f t="shared" ref="M20:M29" si="11">L20*D20</f>
        <v>0</v>
      </c>
      <c r="N20" s="76" t="str">
        <f t="shared" ref="N20:N29" si="12">IFERROR(IF(M20=0,"",IF(OR(M20-$E20&gt;0,M20-$E20&lt;0),(M20-$E20)/$E20,"")),"")</f>
        <v/>
      </c>
      <c r="O20" s="153"/>
    </row>
    <row r="21" spans="1:15" s="70" customFormat="1" ht="15.75">
      <c r="A21" s="64"/>
      <c r="B21" s="286" t="s">
        <v>71</v>
      </c>
      <c r="C21" s="287">
        <v>1</v>
      </c>
      <c r="D21" s="270">
        <v>3000</v>
      </c>
      <c r="E21" s="270">
        <f t="shared" ref="E21:E29" si="13">C21*D21</f>
        <v>3000</v>
      </c>
      <c r="F21" s="64"/>
      <c r="G21" s="74"/>
      <c r="H21" s="97">
        <f t="shared" ref="H21:H29" si="14">G21*D21</f>
        <v>0</v>
      </c>
      <c r="I21" s="76" t="str">
        <f t="shared" ref="I21:I29" si="15">IF(H21=0,"",IF(OR(H21-$E21&gt;0,H21-$E21&lt;0),(H21-$E21)/$E21,""))</f>
        <v/>
      </c>
      <c r="J21" s="75"/>
      <c r="K21" s="17"/>
      <c r="L21" s="152">
        <f t="shared" si="10"/>
        <v>0</v>
      </c>
      <c r="M21" s="97">
        <f t="shared" si="11"/>
        <v>0</v>
      </c>
      <c r="N21" s="76" t="str">
        <f t="shared" si="12"/>
        <v/>
      </c>
      <c r="O21" s="153"/>
    </row>
    <row r="22" spans="1:15" s="70" customFormat="1" ht="15.75">
      <c r="A22" s="64"/>
      <c r="B22" s="288" t="s">
        <v>282</v>
      </c>
      <c r="C22" s="287">
        <v>3</v>
      </c>
      <c r="D22" s="270">
        <v>2000</v>
      </c>
      <c r="E22" s="270">
        <f t="shared" si="13"/>
        <v>6000</v>
      </c>
      <c r="F22" s="64"/>
      <c r="G22" s="74"/>
      <c r="H22" s="97">
        <f t="shared" si="14"/>
        <v>0</v>
      </c>
      <c r="I22" s="76" t="str">
        <f t="shared" si="15"/>
        <v/>
      </c>
      <c r="J22" s="75"/>
      <c r="K22" s="17"/>
      <c r="L22" s="152">
        <f t="shared" si="10"/>
        <v>0</v>
      </c>
      <c r="M22" s="97">
        <f t="shared" si="11"/>
        <v>0</v>
      </c>
      <c r="N22" s="76" t="str">
        <f t="shared" si="12"/>
        <v/>
      </c>
      <c r="O22" s="153"/>
    </row>
    <row r="23" spans="1:15" s="70" customFormat="1" ht="15.75">
      <c r="A23" s="64"/>
      <c r="B23" s="286" t="s">
        <v>227</v>
      </c>
      <c r="C23" s="287">
        <v>1</v>
      </c>
      <c r="D23" s="270">
        <v>13500</v>
      </c>
      <c r="E23" s="270">
        <f t="shared" si="13"/>
        <v>13500</v>
      </c>
      <c r="F23" s="64"/>
      <c r="G23" s="74"/>
      <c r="H23" s="97">
        <f t="shared" si="14"/>
        <v>0</v>
      </c>
      <c r="I23" s="76" t="str">
        <f t="shared" si="15"/>
        <v/>
      </c>
      <c r="J23" s="75"/>
      <c r="K23" s="17"/>
      <c r="L23" s="152">
        <f t="shared" si="10"/>
        <v>0</v>
      </c>
      <c r="M23" s="97">
        <f t="shared" si="11"/>
        <v>0</v>
      </c>
      <c r="N23" s="76" t="str">
        <f t="shared" si="12"/>
        <v/>
      </c>
      <c r="O23" s="153"/>
    </row>
    <row r="24" spans="1:15" s="70" customFormat="1" ht="15.75">
      <c r="A24" s="64"/>
      <c r="B24" s="286" t="s">
        <v>228</v>
      </c>
      <c r="C24" s="287">
        <v>1</v>
      </c>
      <c r="D24" s="270">
        <v>7000</v>
      </c>
      <c r="E24" s="270">
        <f t="shared" si="13"/>
        <v>7000</v>
      </c>
      <c r="F24" s="64"/>
      <c r="G24" s="74"/>
      <c r="H24" s="97">
        <f t="shared" si="14"/>
        <v>0</v>
      </c>
      <c r="I24" s="76" t="str">
        <f t="shared" si="15"/>
        <v/>
      </c>
      <c r="J24" s="75"/>
      <c r="K24" s="17"/>
      <c r="L24" s="152">
        <f t="shared" si="10"/>
        <v>0</v>
      </c>
      <c r="M24" s="97">
        <f t="shared" si="11"/>
        <v>0</v>
      </c>
      <c r="N24" s="76" t="str">
        <f t="shared" si="12"/>
        <v/>
      </c>
      <c r="O24" s="153"/>
    </row>
    <row r="25" spans="1:15" s="70" customFormat="1" ht="15.75">
      <c r="A25" s="64"/>
      <c r="B25" s="286" t="s">
        <v>229</v>
      </c>
      <c r="C25" s="287">
        <v>1</v>
      </c>
      <c r="D25" s="270">
        <v>9000</v>
      </c>
      <c r="E25" s="270">
        <f t="shared" si="13"/>
        <v>9000</v>
      </c>
      <c r="F25" s="64"/>
      <c r="G25" s="74"/>
      <c r="H25" s="97">
        <f t="shared" si="14"/>
        <v>0</v>
      </c>
      <c r="I25" s="76" t="str">
        <f t="shared" si="15"/>
        <v/>
      </c>
      <c r="J25" s="75"/>
      <c r="K25" s="17"/>
      <c r="L25" s="152">
        <f t="shared" si="10"/>
        <v>0</v>
      </c>
      <c r="M25" s="97">
        <f t="shared" si="11"/>
        <v>0</v>
      </c>
      <c r="N25" s="76" t="str">
        <f t="shared" si="12"/>
        <v/>
      </c>
      <c r="O25" s="153"/>
    </row>
    <row r="26" spans="1:15" s="70" customFormat="1" ht="15.75">
      <c r="A26" s="64"/>
      <c r="B26" s="286" t="s">
        <v>72</v>
      </c>
      <c r="C26" s="287">
        <v>1</v>
      </c>
      <c r="D26" s="270">
        <v>5500</v>
      </c>
      <c r="E26" s="270">
        <f t="shared" si="13"/>
        <v>5500</v>
      </c>
      <c r="F26" s="64"/>
      <c r="G26" s="74"/>
      <c r="H26" s="97">
        <f t="shared" si="14"/>
        <v>0</v>
      </c>
      <c r="I26" s="76" t="str">
        <f t="shared" si="15"/>
        <v/>
      </c>
      <c r="J26" s="75"/>
      <c r="K26" s="17"/>
      <c r="L26" s="152">
        <f t="shared" si="10"/>
        <v>0</v>
      </c>
      <c r="M26" s="97">
        <f t="shared" si="11"/>
        <v>0</v>
      </c>
      <c r="N26" s="76" t="str">
        <f t="shared" ref="N26" si="16">IFERROR(IF(M26=0,"",IF(OR(M26-$E26&gt;0,M26-$E26&lt;0),(M26-$E26)/$E26,"")),"")</f>
        <v/>
      </c>
      <c r="O26" s="69"/>
    </row>
    <row r="27" spans="1:15" s="70" customFormat="1" ht="15.75">
      <c r="A27" s="64"/>
      <c r="B27" s="286" t="s">
        <v>230</v>
      </c>
      <c r="C27" s="287">
        <v>1</v>
      </c>
      <c r="D27" s="270">
        <v>6500</v>
      </c>
      <c r="E27" s="270">
        <f t="shared" si="13"/>
        <v>6500</v>
      </c>
      <c r="F27" s="64"/>
      <c r="G27" s="74"/>
      <c r="H27" s="97">
        <f t="shared" si="14"/>
        <v>0</v>
      </c>
      <c r="I27" s="76" t="str">
        <f t="shared" si="15"/>
        <v/>
      </c>
      <c r="J27" s="75"/>
      <c r="K27" s="17"/>
      <c r="L27" s="152">
        <f t="shared" si="10"/>
        <v>0</v>
      </c>
      <c r="M27" s="97">
        <f t="shared" si="11"/>
        <v>0</v>
      </c>
      <c r="N27" s="76" t="str">
        <f t="shared" si="12"/>
        <v/>
      </c>
      <c r="O27" s="69"/>
    </row>
    <row r="28" spans="1:15" s="70" customFormat="1" ht="15.75">
      <c r="A28" s="64"/>
      <c r="B28" s="286" t="s">
        <v>283</v>
      </c>
      <c r="C28" s="287">
        <v>1</v>
      </c>
      <c r="D28" s="270">
        <v>7500</v>
      </c>
      <c r="E28" s="270">
        <f t="shared" si="13"/>
        <v>7500</v>
      </c>
      <c r="F28" s="64"/>
      <c r="G28" s="74"/>
      <c r="H28" s="97">
        <f t="shared" si="14"/>
        <v>0</v>
      </c>
      <c r="I28" s="76" t="str">
        <f t="shared" si="15"/>
        <v/>
      </c>
      <c r="J28" s="75"/>
      <c r="K28" s="17"/>
      <c r="L28" s="152">
        <f t="shared" si="10"/>
        <v>0</v>
      </c>
      <c r="M28" s="97">
        <f t="shared" si="11"/>
        <v>0</v>
      </c>
      <c r="N28" s="76" t="str">
        <f t="shared" si="12"/>
        <v/>
      </c>
      <c r="O28" s="69"/>
    </row>
    <row r="29" spans="1:15" s="70" customFormat="1" ht="15.75" customHeight="1">
      <c r="A29" s="64"/>
      <c r="B29" s="286" t="s">
        <v>231</v>
      </c>
      <c r="C29" s="287">
        <v>1</v>
      </c>
      <c r="D29" s="270">
        <v>25000</v>
      </c>
      <c r="E29" s="270">
        <f t="shared" si="13"/>
        <v>25000</v>
      </c>
      <c r="F29" s="64"/>
      <c r="G29" s="74"/>
      <c r="H29" s="97">
        <f t="shared" si="14"/>
        <v>0</v>
      </c>
      <c r="I29" s="76" t="str">
        <f t="shared" si="15"/>
        <v/>
      </c>
      <c r="J29" s="75"/>
      <c r="K29" s="17"/>
      <c r="L29" s="152">
        <f t="shared" si="10"/>
        <v>0</v>
      </c>
      <c r="M29" s="362">
        <f t="shared" si="11"/>
        <v>0</v>
      </c>
      <c r="N29" s="76" t="str">
        <f t="shared" si="12"/>
        <v/>
      </c>
      <c r="O29" s="69"/>
    </row>
    <row r="30" spans="1:15" s="70" customFormat="1" ht="18">
      <c r="A30" s="15"/>
      <c r="B30" s="436"/>
      <c r="C30" s="436"/>
      <c r="D30" s="436"/>
      <c r="E30" s="436"/>
      <c r="F30" s="436"/>
      <c r="G30" s="437" t="s">
        <v>9</v>
      </c>
      <c r="H30" s="438">
        <f>SUM(H13:H29)</f>
        <v>0</v>
      </c>
      <c r="I30" s="588"/>
      <c r="J30" s="589"/>
      <c r="K30" s="439"/>
      <c r="L30" s="401" t="s">
        <v>9</v>
      </c>
      <c r="M30" s="438">
        <f>SUM(M13:M29)</f>
        <v>0</v>
      </c>
      <c r="N30" s="588"/>
      <c r="O30" s="589"/>
    </row>
  </sheetData>
  <sheetProtection algorithmName="SHA-512" hashValue="ZlkOqq1Uru6t33KAtyFPrc1a0nVP38V1rCVJJskNVbXMBhQHr4lxWQt4zet+g6Eg8G8Ae/DsfQBdEb/eVqGnQg==" saltValue="mqAHiUwu+W2l30+UXgaBRA==" spinCount="100000" sheet="1" autoFilter="0"/>
  <autoFilter ref="B12:B29" xr:uid="{00000000-0009-0000-0000-000007000000}"/>
  <mergeCells count="10">
    <mergeCell ref="I30:J30"/>
    <mergeCell ref="N30:O30"/>
    <mergeCell ref="B11:E11"/>
    <mergeCell ref="G11:J11"/>
    <mergeCell ref="B2:O2"/>
    <mergeCell ref="L11:O11"/>
    <mergeCell ref="B3:O3"/>
    <mergeCell ref="B19:E19"/>
    <mergeCell ref="G19:J19"/>
    <mergeCell ref="L19:O19"/>
  </mergeCells>
  <conditionalFormatting sqref="I13:I18 N13:N18">
    <cfRule type="cellIs" dxfId="8" priority="2" operator="greaterThan">
      <formula>0</formula>
    </cfRule>
  </conditionalFormatting>
  <conditionalFormatting sqref="I20:I29 N20:N29">
    <cfRule type="cellIs" dxfId="7" priority="4" operator="greaterThan">
      <formula>0</formula>
    </cfRule>
  </conditionalFormatting>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13"/>
  <dimension ref="A1:AC53"/>
  <sheetViews>
    <sheetView showGridLines="0" rightToLeft="1" workbookViewId="0"/>
  </sheetViews>
  <sheetFormatPr defaultRowHeight="14.25"/>
  <cols>
    <col min="1" max="1" width="3" style="170" customWidth="1"/>
    <col min="2" max="2" width="39.25" style="155" customWidth="1"/>
    <col min="4" max="6" width="11" bestFit="1" customWidth="1"/>
    <col min="7" max="7" width="17.125" customWidth="1"/>
    <col min="8" max="8" width="13.875" customWidth="1"/>
    <col min="13" max="13" width="12.5" customWidth="1"/>
    <col min="14" max="14" width="25.625" customWidth="1"/>
  </cols>
  <sheetData>
    <row r="1" spans="1:29" ht="18.75" thickBot="1">
      <c r="A1" s="154"/>
    </row>
    <row r="2" spans="1:29" ht="24.95" customHeight="1" thickBot="1">
      <c r="A2" s="156"/>
      <c r="B2" s="610" t="s">
        <v>286</v>
      </c>
      <c r="C2" s="611"/>
      <c r="D2" s="611"/>
      <c r="E2" s="611"/>
      <c r="F2" s="611"/>
      <c r="G2" s="611"/>
      <c r="H2" s="611"/>
      <c r="I2" s="611"/>
      <c r="J2" s="611"/>
      <c r="K2" s="611"/>
      <c r="L2" s="611"/>
      <c r="M2" s="611"/>
      <c r="N2" s="612"/>
    </row>
    <row r="3" spans="1:29" ht="24.95" customHeight="1" thickBot="1">
      <c r="A3" s="103"/>
      <c r="B3" s="613" t="s">
        <v>92</v>
      </c>
      <c r="C3" s="613"/>
      <c r="D3" s="613"/>
      <c r="E3" s="613"/>
      <c r="F3" s="613"/>
      <c r="G3" s="613"/>
      <c r="H3" s="613"/>
      <c r="I3" s="613"/>
      <c r="J3" s="613"/>
      <c r="K3" s="613"/>
      <c r="L3" s="613"/>
      <c r="M3" s="613"/>
      <c r="N3" s="613"/>
    </row>
    <row r="4" spans="1:29" ht="15">
      <c r="A4" s="105"/>
      <c r="B4" s="157" t="s">
        <v>164</v>
      </c>
      <c r="C4" s="158"/>
      <c r="D4" s="158"/>
      <c r="E4" s="158"/>
      <c r="F4" s="158"/>
      <c r="G4" s="158"/>
      <c r="H4" s="158"/>
      <c r="I4" s="158"/>
      <c r="J4" s="158"/>
      <c r="K4" s="158"/>
      <c r="L4" s="158"/>
      <c r="M4" s="158"/>
      <c r="N4" s="159"/>
    </row>
    <row r="5" spans="1:29" ht="15">
      <c r="A5" s="105"/>
      <c r="B5" s="160" t="s">
        <v>349</v>
      </c>
      <c r="C5" s="161"/>
      <c r="D5" s="161"/>
      <c r="E5" s="161"/>
      <c r="F5" s="161"/>
      <c r="G5" s="161"/>
      <c r="H5" s="161"/>
      <c r="I5" s="161"/>
      <c r="J5" s="161"/>
      <c r="K5" s="161"/>
      <c r="L5" s="161"/>
      <c r="M5" s="161"/>
      <c r="N5" s="162"/>
    </row>
    <row r="6" spans="1:29" ht="15">
      <c r="A6" s="105"/>
      <c r="B6" s="160" t="s">
        <v>163</v>
      </c>
      <c r="C6" s="161"/>
      <c r="D6" s="161"/>
      <c r="E6" s="161"/>
      <c r="F6" s="161"/>
      <c r="G6" s="161"/>
      <c r="H6" s="161"/>
      <c r="I6" s="161"/>
      <c r="J6" s="161"/>
      <c r="K6" s="161"/>
      <c r="L6" s="161"/>
      <c r="M6" s="161"/>
      <c r="N6" s="162"/>
    </row>
    <row r="7" spans="1:29" ht="15">
      <c r="A7" s="105"/>
      <c r="B7" s="160" t="s">
        <v>346</v>
      </c>
      <c r="C7" s="161"/>
      <c r="D7" s="161"/>
      <c r="E7" s="161"/>
      <c r="F7" s="161"/>
      <c r="G7" s="161"/>
      <c r="H7" s="161"/>
      <c r="I7" s="161"/>
      <c r="J7" s="161"/>
      <c r="K7" s="161"/>
      <c r="L7" s="161"/>
      <c r="M7" s="161"/>
      <c r="N7" s="162"/>
    </row>
    <row r="8" spans="1:29" ht="15" customHeight="1">
      <c r="A8" s="105"/>
      <c r="B8" s="143" t="s">
        <v>350</v>
      </c>
      <c r="C8" s="141"/>
      <c r="D8" s="141"/>
      <c r="E8" s="141"/>
      <c r="F8" s="141"/>
      <c r="G8" s="141"/>
      <c r="H8" s="141"/>
      <c r="I8" s="141"/>
      <c r="J8" s="141"/>
      <c r="K8" s="141"/>
      <c r="L8" s="141"/>
      <c r="M8" s="141"/>
      <c r="N8" s="142"/>
    </row>
    <row r="9" spans="1:29" ht="15" customHeight="1">
      <c r="A9" s="105"/>
      <c r="B9" s="143" t="s">
        <v>166</v>
      </c>
      <c r="C9" s="141"/>
      <c r="D9" s="141"/>
      <c r="E9" s="141"/>
      <c r="F9" s="141"/>
      <c r="G9" s="141"/>
      <c r="H9" s="141"/>
      <c r="I9" s="141"/>
      <c r="J9" s="141"/>
      <c r="K9" s="141"/>
      <c r="L9" s="141"/>
      <c r="M9" s="141"/>
      <c r="N9" s="142"/>
    </row>
    <row r="10" spans="1:29" ht="15" customHeight="1" thickBot="1">
      <c r="A10" s="105"/>
      <c r="B10" s="144" t="s">
        <v>167</v>
      </c>
      <c r="C10" s="146"/>
      <c r="D10" s="146"/>
      <c r="E10" s="146"/>
      <c r="F10" s="146"/>
      <c r="G10" s="146"/>
      <c r="H10" s="146"/>
      <c r="I10" s="146"/>
      <c r="J10" s="146"/>
      <c r="K10" s="146"/>
      <c r="L10" s="146"/>
      <c r="M10" s="146"/>
      <c r="N10" s="147"/>
    </row>
    <row r="11" spans="1:29">
      <c r="A11" s="101"/>
      <c r="B11" s="101"/>
    </row>
    <row r="12" spans="1:29" ht="18" customHeight="1">
      <c r="A12" s="118"/>
      <c r="B12" s="614" t="s">
        <v>287</v>
      </c>
      <c r="C12" s="615"/>
      <c r="D12" s="615"/>
      <c r="E12" s="615"/>
      <c r="F12" s="615"/>
      <c r="G12" s="615"/>
      <c r="H12" s="615"/>
      <c r="I12" s="616"/>
      <c r="J12" s="216"/>
      <c r="K12" s="551" t="s">
        <v>330</v>
      </c>
      <c r="L12" s="552"/>
      <c r="M12" s="552"/>
      <c r="N12" s="553"/>
    </row>
    <row r="13" spans="1:29" s="122" customFormat="1" ht="75" customHeight="1">
      <c r="B13" s="163" t="s">
        <v>19</v>
      </c>
      <c r="C13" s="163" t="s">
        <v>88</v>
      </c>
      <c r="D13" s="163" t="s">
        <v>109</v>
      </c>
      <c r="E13" s="163" t="s">
        <v>110</v>
      </c>
      <c r="F13" s="163" t="s">
        <v>111</v>
      </c>
      <c r="G13" s="164" t="s">
        <v>288</v>
      </c>
      <c r="H13" s="163" t="s">
        <v>112</v>
      </c>
      <c r="I13" s="163" t="s">
        <v>289</v>
      </c>
      <c r="J13" s="165"/>
      <c r="K13" s="166" t="s">
        <v>105</v>
      </c>
      <c r="L13" s="163" t="s">
        <v>114</v>
      </c>
      <c r="M13" s="167" t="s">
        <v>106</v>
      </c>
      <c r="N13" s="163" t="s">
        <v>328</v>
      </c>
      <c r="O13" s="168"/>
      <c r="P13" s="168"/>
      <c r="Q13" s="168"/>
      <c r="R13" s="168"/>
      <c r="S13" s="168"/>
      <c r="T13" s="168"/>
      <c r="U13" s="168"/>
      <c r="V13" s="168"/>
      <c r="W13" s="168"/>
      <c r="X13" s="168"/>
      <c r="Y13" s="168"/>
      <c r="Z13" s="168"/>
      <c r="AA13" s="168"/>
      <c r="AB13" s="168"/>
      <c r="AC13" s="168"/>
    </row>
    <row r="14" spans="1:29" ht="15.75">
      <c r="A14" s="169"/>
      <c r="B14" s="621" t="s">
        <v>146</v>
      </c>
      <c r="C14" s="622"/>
      <c r="D14" s="622"/>
      <c r="E14" s="622"/>
      <c r="F14" s="622"/>
      <c r="G14" s="622"/>
      <c r="H14" s="622"/>
      <c r="I14" s="623"/>
      <c r="J14" s="216"/>
      <c r="K14" s="618" t="s">
        <v>146</v>
      </c>
      <c r="L14" s="618"/>
      <c r="M14" s="618"/>
      <c r="N14" s="619"/>
    </row>
    <row r="15" spans="1:29" ht="15">
      <c r="A15" s="169"/>
      <c r="B15" s="289" t="s">
        <v>290</v>
      </c>
      <c r="C15" s="31"/>
      <c r="D15" s="523"/>
      <c r="E15" s="523"/>
      <c r="F15" s="523"/>
      <c r="G15" s="32"/>
      <c r="H15" s="290">
        <f>IF(G15="",(MIN($D15:$F15))*C15,IF(G15="הצעה א",D15*C15,IF(G15="הצעה ב",E15*C15,F15*C15)))</f>
        <v>0</v>
      </c>
      <c r="I15" s="31"/>
      <c r="J15" s="216"/>
      <c r="K15" s="93">
        <f t="shared" ref="K15:K28" si="0">C15</f>
        <v>0</v>
      </c>
      <c r="L15" s="33"/>
      <c r="M15" s="95">
        <f t="shared" ref="M15:M28" si="1">IFERROR(IF(L15="מאושר",K15*H15/C15,K15*MIN(D15:G15)),0)</f>
        <v>0</v>
      </c>
      <c r="N15" s="33"/>
    </row>
    <row r="16" spans="1:29" ht="30">
      <c r="A16" s="169"/>
      <c r="B16" s="291" t="s">
        <v>291</v>
      </c>
      <c r="C16" s="31"/>
      <c r="D16" s="523"/>
      <c r="E16" s="523"/>
      <c r="F16" s="523"/>
      <c r="G16" s="32"/>
      <c r="H16" s="290">
        <f t="shared" ref="H16:H28" si="2">IF(G16="",(MIN($D16:$F16))*C16,IF(G16="הצעה א",D16*C16,IF(G16="הצעה ב",E16*C16,F16*C16)))</f>
        <v>0</v>
      </c>
      <c r="I16" s="31"/>
      <c r="J16" s="216"/>
      <c r="K16" s="93">
        <f t="shared" si="0"/>
        <v>0</v>
      </c>
      <c r="L16" s="33"/>
      <c r="M16" s="95">
        <f t="shared" si="1"/>
        <v>0</v>
      </c>
      <c r="N16" s="33"/>
    </row>
    <row r="17" spans="1:14" ht="15">
      <c r="A17" s="169"/>
      <c r="B17" s="292" t="s">
        <v>199</v>
      </c>
      <c r="C17" s="31"/>
      <c r="D17" s="523"/>
      <c r="E17" s="523"/>
      <c r="F17" s="523"/>
      <c r="G17" s="32"/>
      <c r="H17" s="290">
        <f t="shared" si="2"/>
        <v>0</v>
      </c>
      <c r="I17" s="31"/>
      <c r="J17" s="216"/>
      <c r="K17" s="93">
        <f t="shared" si="0"/>
        <v>0</v>
      </c>
      <c r="L17" s="33"/>
      <c r="M17" s="95">
        <f t="shared" si="1"/>
        <v>0</v>
      </c>
      <c r="N17" s="33"/>
    </row>
    <row r="18" spans="1:14" ht="30">
      <c r="A18" s="169"/>
      <c r="B18" s="291" t="s">
        <v>201</v>
      </c>
      <c r="C18" s="31"/>
      <c r="D18" s="523"/>
      <c r="E18" s="523"/>
      <c r="F18" s="523"/>
      <c r="G18" s="32"/>
      <c r="H18" s="290">
        <f t="shared" si="2"/>
        <v>0</v>
      </c>
      <c r="I18" s="31"/>
      <c r="J18" s="216"/>
      <c r="K18" s="93">
        <f t="shared" si="0"/>
        <v>0</v>
      </c>
      <c r="L18" s="33"/>
      <c r="M18" s="95">
        <f t="shared" si="1"/>
        <v>0</v>
      </c>
      <c r="N18" s="33"/>
    </row>
    <row r="19" spans="1:14" ht="60">
      <c r="A19" s="169"/>
      <c r="B19" s="293" t="s">
        <v>292</v>
      </c>
      <c r="C19" s="31"/>
      <c r="D19" s="523"/>
      <c r="E19" s="523"/>
      <c r="F19" s="523"/>
      <c r="G19" s="32"/>
      <c r="H19" s="290">
        <f t="shared" si="2"/>
        <v>0</v>
      </c>
      <c r="I19" s="31"/>
      <c r="J19" s="216"/>
      <c r="K19" s="93">
        <f t="shared" si="0"/>
        <v>0</v>
      </c>
      <c r="L19" s="33"/>
      <c r="M19" s="95">
        <f t="shared" si="1"/>
        <v>0</v>
      </c>
      <c r="N19" s="33"/>
    </row>
    <row r="20" spans="1:14" ht="15">
      <c r="A20" s="169"/>
      <c r="B20" s="292" t="s">
        <v>200</v>
      </c>
      <c r="C20" s="31"/>
      <c r="D20" s="523"/>
      <c r="E20" s="523"/>
      <c r="F20" s="523"/>
      <c r="G20" s="32"/>
      <c r="H20" s="290">
        <f t="shared" si="2"/>
        <v>0</v>
      </c>
      <c r="I20" s="31"/>
      <c r="J20" s="216"/>
      <c r="K20" s="93">
        <f t="shared" si="0"/>
        <v>0</v>
      </c>
      <c r="L20" s="33"/>
      <c r="M20" s="95">
        <f t="shared" si="1"/>
        <v>0</v>
      </c>
      <c r="N20" s="33"/>
    </row>
    <row r="21" spans="1:14" ht="15">
      <c r="A21" s="169"/>
      <c r="B21" s="292" t="s">
        <v>202</v>
      </c>
      <c r="C21" s="31"/>
      <c r="D21" s="523"/>
      <c r="E21" s="523"/>
      <c r="F21" s="523"/>
      <c r="G21" s="32"/>
      <c r="H21" s="290">
        <f t="shared" si="2"/>
        <v>0</v>
      </c>
      <c r="I21" s="31"/>
      <c r="J21" s="216"/>
      <c r="K21" s="93">
        <f t="shared" si="0"/>
        <v>0</v>
      </c>
      <c r="L21" s="33"/>
      <c r="M21" s="95">
        <f t="shared" si="1"/>
        <v>0</v>
      </c>
      <c r="N21" s="33"/>
    </row>
    <row r="22" spans="1:14" ht="15">
      <c r="A22" s="169"/>
      <c r="B22" s="291" t="s">
        <v>203</v>
      </c>
      <c r="C22" s="31"/>
      <c r="D22" s="523"/>
      <c r="E22" s="523"/>
      <c r="F22" s="523"/>
      <c r="G22" s="32"/>
      <c r="H22" s="290">
        <f t="shared" si="2"/>
        <v>0</v>
      </c>
      <c r="I22" s="31"/>
      <c r="J22" s="216"/>
      <c r="K22" s="93">
        <f t="shared" si="0"/>
        <v>0</v>
      </c>
      <c r="L22" s="33"/>
      <c r="M22" s="95">
        <f t="shared" si="1"/>
        <v>0</v>
      </c>
      <c r="N22" s="33"/>
    </row>
    <row r="23" spans="1:14" ht="15">
      <c r="A23" s="169"/>
      <c r="B23" s="294" t="s">
        <v>198</v>
      </c>
      <c r="C23" s="31"/>
      <c r="D23" s="523"/>
      <c r="E23" s="523"/>
      <c r="F23" s="523"/>
      <c r="G23" s="32"/>
      <c r="H23" s="290">
        <f t="shared" si="2"/>
        <v>0</v>
      </c>
      <c r="I23" s="31"/>
      <c r="J23" s="216"/>
      <c r="K23" s="93">
        <f t="shared" si="0"/>
        <v>0</v>
      </c>
      <c r="L23" s="33"/>
      <c r="M23" s="95">
        <f t="shared" si="1"/>
        <v>0</v>
      </c>
      <c r="N23" s="33"/>
    </row>
    <row r="24" spans="1:14" ht="15">
      <c r="A24" s="169"/>
      <c r="B24" s="295"/>
      <c r="C24" s="31"/>
      <c r="D24" s="523"/>
      <c r="E24" s="523"/>
      <c r="F24" s="523"/>
      <c r="G24" s="32"/>
      <c r="H24" s="290">
        <f t="shared" si="2"/>
        <v>0</v>
      </c>
      <c r="I24" s="31"/>
      <c r="J24" s="216"/>
      <c r="K24" s="93">
        <f t="shared" si="0"/>
        <v>0</v>
      </c>
      <c r="L24" s="33"/>
      <c r="M24" s="95">
        <f t="shared" si="1"/>
        <v>0</v>
      </c>
      <c r="N24" s="33"/>
    </row>
    <row r="25" spans="1:14" ht="15">
      <c r="A25" s="169"/>
      <c r="B25" s="295"/>
      <c r="C25" s="31"/>
      <c r="D25" s="523"/>
      <c r="E25" s="523"/>
      <c r="F25" s="523"/>
      <c r="G25" s="32"/>
      <c r="H25" s="290">
        <f t="shared" si="2"/>
        <v>0</v>
      </c>
      <c r="I25" s="31"/>
      <c r="J25" s="216"/>
      <c r="K25" s="93">
        <f t="shared" si="0"/>
        <v>0</v>
      </c>
      <c r="L25" s="33"/>
      <c r="M25" s="95">
        <f t="shared" si="1"/>
        <v>0</v>
      </c>
      <c r="N25" s="33"/>
    </row>
    <row r="26" spans="1:14" ht="15">
      <c r="A26" s="169"/>
      <c r="B26" s="295"/>
      <c r="C26" s="31"/>
      <c r="D26" s="523"/>
      <c r="E26" s="523"/>
      <c r="F26" s="523"/>
      <c r="G26" s="32"/>
      <c r="H26" s="290">
        <f t="shared" si="2"/>
        <v>0</v>
      </c>
      <c r="I26" s="31"/>
      <c r="J26" s="216"/>
      <c r="K26" s="93">
        <f t="shared" si="0"/>
        <v>0</v>
      </c>
      <c r="L26" s="33"/>
      <c r="M26" s="95">
        <f t="shared" si="1"/>
        <v>0</v>
      </c>
      <c r="N26" s="33"/>
    </row>
    <row r="27" spans="1:14" ht="15">
      <c r="A27" s="169"/>
      <c r="B27" s="295"/>
      <c r="C27" s="31"/>
      <c r="D27" s="523"/>
      <c r="E27" s="523"/>
      <c r="F27" s="523"/>
      <c r="G27" s="32"/>
      <c r="H27" s="290">
        <f t="shared" si="2"/>
        <v>0</v>
      </c>
      <c r="I27" s="31"/>
      <c r="J27" s="216"/>
      <c r="K27" s="93">
        <f t="shared" si="0"/>
        <v>0</v>
      </c>
      <c r="L27" s="33"/>
      <c r="M27" s="95">
        <f t="shared" si="1"/>
        <v>0</v>
      </c>
      <c r="N27" s="33"/>
    </row>
    <row r="28" spans="1:14" ht="15">
      <c r="A28" s="169"/>
      <c r="B28" s="295"/>
      <c r="C28" s="31"/>
      <c r="D28" s="523"/>
      <c r="E28" s="523"/>
      <c r="F28" s="523"/>
      <c r="G28" s="32"/>
      <c r="H28" s="290">
        <f t="shared" si="2"/>
        <v>0</v>
      </c>
      <c r="I28" s="31"/>
      <c r="J28" s="216"/>
      <c r="K28" s="93">
        <f t="shared" si="0"/>
        <v>0</v>
      </c>
      <c r="L28" s="33"/>
      <c r="M28" s="95">
        <f t="shared" si="1"/>
        <v>0</v>
      </c>
      <c r="N28" s="33"/>
    </row>
    <row r="29" spans="1:14" ht="15.75">
      <c r="A29" s="169"/>
      <c r="B29" s="617" t="s">
        <v>147</v>
      </c>
      <c r="C29" s="618"/>
      <c r="D29" s="618"/>
      <c r="E29" s="618"/>
      <c r="F29" s="618"/>
      <c r="G29" s="618"/>
      <c r="H29" s="618"/>
      <c r="I29" s="619"/>
      <c r="J29" s="216"/>
      <c r="K29" s="620" t="s">
        <v>147</v>
      </c>
      <c r="L29" s="620"/>
      <c r="M29" s="620"/>
      <c r="N29" s="620"/>
    </row>
    <row r="30" spans="1:14" ht="15">
      <c r="A30" s="169"/>
      <c r="B30" s="296" t="s">
        <v>204</v>
      </c>
      <c r="C30" s="31"/>
      <c r="D30" s="523"/>
      <c r="E30" s="523"/>
      <c r="F30" s="523"/>
      <c r="G30" s="32"/>
      <c r="H30" s="290">
        <f t="shared" ref="H30:H52" si="3">IF(G30="",(MIN($D30:$F30))*C30,IF(G30="הצעה א",D30*C30,IF(G30="הצעה ב",E30*C30,F30*C30)))</f>
        <v>0</v>
      </c>
      <c r="I30" s="31"/>
      <c r="J30" s="216"/>
      <c r="K30" s="93">
        <f t="shared" ref="K30:K52" si="4">C30</f>
        <v>0</v>
      </c>
      <c r="L30" s="33"/>
      <c r="M30" s="95">
        <f t="shared" ref="M30:M52" si="5">IFERROR(IF(L30="מאושר",K30*H30/C30,K30*MIN(D30:G30)),0)</f>
        <v>0</v>
      </c>
      <c r="N30" s="33"/>
    </row>
    <row r="31" spans="1:14" ht="30">
      <c r="A31" s="169"/>
      <c r="B31" s="297" t="s">
        <v>205</v>
      </c>
      <c r="C31" s="31"/>
      <c r="D31" s="523"/>
      <c r="E31" s="523"/>
      <c r="F31" s="523"/>
      <c r="G31" s="32"/>
      <c r="H31" s="290">
        <f t="shared" si="3"/>
        <v>0</v>
      </c>
      <c r="I31" s="31"/>
      <c r="J31" s="216"/>
      <c r="K31" s="93">
        <f t="shared" si="4"/>
        <v>0</v>
      </c>
      <c r="L31" s="33"/>
      <c r="M31" s="95">
        <f t="shared" si="5"/>
        <v>0</v>
      </c>
      <c r="N31" s="33"/>
    </row>
    <row r="32" spans="1:14" ht="30">
      <c r="A32" s="169"/>
      <c r="B32" s="297" t="s">
        <v>206</v>
      </c>
      <c r="C32" s="31"/>
      <c r="D32" s="523"/>
      <c r="E32" s="523"/>
      <c r="F32" s="523"/>
      <c r="G32" s="32"/>
      <c r="H32" s="290">
        <f t="shared" si="3"/>
        <v>0</v>
      </c>
      <c r="I32" s="31"/>
      <c r="J32" s="216"/>
      <c r="K32" s="93">
        <f t="shared" si="4"/>
        <v>0</v>
      </c>
      <c r="L32" s="33"/>
      <c r="M32" s="95">
        <f t="shared" si="5"/>
        <v>0</v>
      </c>
      <c r="N32" s="33"/>
    </row>
    <row r="33" spans="1:14" ht="15">
      <c r="A33" s="169"/>
      <c r="B33" s="297" t="s">
        <v>207</v>
      </c>
      <c r="C33" s="31"/>
      <c r="D33" s="523"/>
      <c r="E33" s="523"/>
      <c r="F33" s="523"/>
      <c r="G33" s="32"/>
      <c r="H33" s="290">
        <f t="shared" si="3"/>
        <v>0</v>
      </c>
      <c r="I33" s="31"/>
      <c r="J33" s="216"/>
      <c r="K33" s="93">
        <f t="shared" si="4"/>
        <v>0</v>
      </c>
      <c r="L33" s="33"/>
      <c r="M33" s="95">
        <f t="shared" si="5"/>
        <v>0</v>
      </c>
      <c r="N33" s="33"/>
    </row>
    <row r="34" spans="1:14" ht="15">
      <c r="A34" s="169"/>
      <c r="B34" s="297" t="s">
        <v>208</v>
      </c>
      <c r="C34" s="31"/>
      <c r="D34" s="523"/>
      <c r="E34" s="523"/>
      <c r="F34" s="523"/>
      <c r="G34" s="32"/>
      <c r="H34" s="290">
        <f t="shared" si="3"/>
        <v>0</v>
      </c>
      <c r="I34" s="31"/>
      <c r="J34" s="216"/>
      <c r="K34" s="93">
        <f t="shared" si="4"/>
        <v>0</v>
      </c>
      <c r="L34" s="33"/>
      <c r="M34" s="95">
        <f t="shared" si="5"/>
        <v>0</v>
      </c>
      <c r="N34" s="33"/>
    </row>
    <row r="35" spans="1:14" ht="15">
      <c r="A35" s="169"/>
      <c r="B35" s="297" t="s">
        <v>209</v>
      </c>
      <c r="C35" s="31"/>
      <c r="D35" s="523"/>
      <c r="E35" s="523"/>
      <c r="F35" s="523"/>
      <c r="G35" s="32"/>
      <c r="H35" s="290">
        <f t="shared" si="3"/>
        <v>0</v>
      </c>
      <c r="I35" s="31"/>
      <c r="J35" s="216"/>
      <c r="K35" s="93">
        <f t="shared" si="4"/>
        <v>0</v>
      </c>
      <c r="L35" s="33"/>
      <c r="M35" s="95">
        <f t="shared" si="5"/>
        <v>0</v>
      </c>
      <c r="N35" s="33"/>
    </row>
    <row r="36" spans="1:14" ht="15">
      <c r="A36" s="169"/>
      <c r="B36" s="297" t="s">
        <v>210</v>
      </c>
      <c r="C36" s="31"/>
      <c r="D36" s="523"/>
      <c r="E36" s="523"/>
      <c r="F36" s="523"/>
      <c r="G36" s="32"/>
      <c r="H36" s="290">
        <f t="shared" si="3"/>
        <v>0</v>
      </c>
      <c r="I36" s="31"/>
      <c r="J36" s="216"/>
      <c r="K36" s="93">
        <f t="shared" si="4"/>
        <v>0</v>
      </c>
      <c r="L36" s="33"/>
      <c r="M36" s="95">
        <f t="shared" si="5"/>
        <v>0</v>
      </c>
      <c r="N36" s="33"/>
    </row>
    <row r="37" spans="1:14" ht="15">
      <c r="A37" s="169"/>
      <c r="B37" s="297" t="s">
        <v>211</v>
      </c>
      <c r="C37" s="31"/>
      <c r="D37" s="523"/>
      <c r="E37" s="523"/>
      <c r="F37" s="523"/>
      <c r="G37" s="32"/>
      <c r="H37" s="290">
        <f t="shared" si="3"/>
        <v>0</v>
      </c>
      <c r="I37" s="31"/>
      <c r="J37" s="216"/>
      <c r="K37" s="93">
        <f t="shared" si="4"/>
        <v>0</v>
      </c>
      <c r="L37" s="33"/>
      <c r="M37" s="95">
        <f t="shared" si="5"/>
        <v>0</v>
      </c>
      <c r="N37" s="33"/>
    </row>
    <row r="38" spans="1:14" ht="15">
      <c r="A38" s="169"/>
      <c r="B38" s="297" t="s">
        <v>212</v>
      </c>
      <c r="C38" s="31"/>
      <c r="D38" s="523"/>
      <c r="E38" s="523"/>
      <c r="F38" s="523"/>
      <c r="G38" s="32"/>
      <c r="H38" s="290">
        <f t="shared" si="3"/>
        <v>0</v>
      </c>
      <c r="I38" s="31"/>
      <c r="J38" s="216"/>
      <c r="K38" s="93">
        <f t="shared" si="4"/>
        <v>0</v>
      </c>
      <c r="L38" s="33"/>
      <c r="M38" s="95">
        <f t="shared" si="5"/>
        <v>0</v>
      </c>
      <c r="N38" s="298"/>
    </row>
    <row r="39" spans="1:14" ht="15">
      <c r="A39" s="169"/>
      <c r="B39" s="297" t="s">
        <v>213</v>
      </c>
      <c r="C39" s="31"/>
      <c r="D39" s="523"/>
      <c r="E39" s="523"/>
      <c r="F39" s="523"/>
      <c r="G39" s="32"/>
      <c r="H39" s="290">
        <f t="shared" si="3"/>
        <v>0</v>
      </c>
      <c r="I39" s="31"/>
      <c r="J39" s="216"/>
      <c r="K39" s="93">
        <f t="shared" si="4"/>
        <v>0</v>
      </c>
      <c r="L39" s="33"/>
      <c r="M39" s="95">
        <f t="shared" si="5"/>
        <v>0</v>
      </c>
      <c r="N39" s="33"/>
    </row>
    <row r="40" spans="1:14" ht="15">
      <c r="A40" s="169"/>
      <c r="B40" s="297" t="s">
        <v>214</v>
      </c>
      <c r="C40" s="31"/>
      <c r="D40" s="523"/>
      <c r="E40" s="523"/>
      <c r="F40" s="523"/>
      <c r="G40" s="32"/>
      <c r="H40" s="290">
        <f t="shared" si="3"/>
        <v>0</v>
      </c>
      <c r="I40" s="31"/>
      <c r="J40" s="216"/>
      <c r="K40" s="93">
        <f t="shared" si="4"/>
        <v>0</v>
      </c>
      <c r="L40" s="33"/>
      <c r="M40" s="95">
        <f t="shared" si="5"/>
        <v>0</v>
      </c>
      <c r="N40" s="33"/>
    </row>
    <row r="41" spans="1:14" ht="15">
      <c r="A41" s="169"/>
      <c r="B41" s="297" t="s">
        <v>215</v>
      </c>
      <c r="C41" s="31"/>
      <c r="D41" s="523"/>
      <c r="E41" s="523"/>
      <c r="F41" s="523"/>
      <c r="G41" s="32"/>
      <c r="H41" s="290">
        <f t="shared" si="3"/>
        <v>0</v>
      </c>
      <c r="I41" s="31"/>
      <c r="J41" s="216"/>
      <c r="K41" s="93">
        <f t="shared" si="4"/>
        <v>0</v>
      </c>
      <c r="L41" s="33"/>
      <c r="M41" s="95">
        <f t="shared" si="5"/>
        <v>0</v>
      </c>
      <c r="N41" s="33"/>
    </row>
    <row r="42" spans="1:14" ht="15">
      <c r="A42" s="101"/>
      <c r="B42" s="297" t="s">
        <v>216</v>
      </c>
      <c r="C42" s="31"/>
      <c r="D42" s="523"/>
      <c r="E42" s="523"/>
      <c r="F42" s="523"/>
      <c r="G42" s="32"/>
      <c r="H42" s="290">
        <f t="shared" si="3"/>
        <v>0</v>
      </c>
      <c r="I42" s="31"/>
      <c r="J42" s="216"/>
      <c r="K42" s="93">
        <f t="shared" si="4"/>
        <v>0</v>
      </c>
      <c r="L42" s="33"/>
      <c r="M42" s="95">
        <f t="shared" si="5"/>
        <v>0</v>
      </c>
      <c r="N42" s="33"/>
    </row>
    <row r="43" spans="1:14" ht="15">
      <c r="A43" s="101"/>
      <c r="B43" s="297" t="s">
        <v>217</v>
      </c>
      <c r="C43" s="31"/>
      <c r="D43" s="523"/>
      <c r="E43" s="523"/>
      <c r="F43" s="523"/>
      <c r="G43" s="32"/>
      <c r="H43" s="290">
        <f t="shared" si="3"/>
        <v>0</v>
      </c>
      <c r="I43" s="31"/>
      <c r="J43" s="216"/>
      <c r="K43" s="93">
        <f t="shared" si="4"/>
        <v>0</v>
      </c>
      <c r="L43" s="33"/>
      <c r="M43" s="95">
        <f t="shared" si="5"/>
        <v>0</v>
      </c>
      <c r="N43" s="33"/>
    </row>
    <row r="44" spans="1:14" ht="15">
      <c r="A44" s="101"/>
      <c r="B44" s="297" t="s">
        <v>218</v>
      </c>
      <c r="C44" s="31"/>
      <c r="D44" s="523"/>
      <c r="E44" s="523"/>
      <c r="F44" s="523"/>
      <c r="G44" s="32"/>
      <c r="H44" s="290">
        <f t="shared" si="3"/>
        <v>0</v>
      </c>
      <c r="I44" s="31"/>
      <c r="J44" s="216"/>
      <c r="K44" s="93">
        <f t="shared" si="4"/>
        <v>0</v>
      </c>
      <c r="L44" s="33"/>
      <c r="M44" s="95">
        <f t="shared" si="5"/>
        <v>0</v>
      </c>
      <c r="N44" s="33"/>
    </row>
    <row r="45" spans="1:14" ht="15">
      <c r="A45" s="101"/>
      <c r="B45" s="297" t="s">
        <v>219</v>
      </c>
      <c r="C45" s="31"/>
      <c r="D45" s="523"/>
      <c r="E45" s="523"/>
      <c r="F45" s="523"/>
      <c r="G45" s="32"/>
      <c r="H45" s="290">
        <f t="shared" si="3"/>
        <v>0</v>
      </c>
      <c r="I45" s="31"/>
      <c r="J45" s="216"/>
      <c r="K45" s="93">
        <f t="shared" si="4"/>
        <v>0</v>
      </c>
      <c r="L45" s="33"/>
      <c r="M45" s="95">
        <f t="shared" si="5"/>
        <v>0</v>
      </c>
      <c r="N45" s="33"/>
    </row>
    <row r="46" spans="1:14" ht="15">
      <c r="A46" s="101"/>
      <c r="B46" s="297" t="s">
        <v>220</v>
      </c>
      <c r="C46" s="31"/>
      <c r="D46" s="523"/>
      <c r="E46" s="523"/>
      <c r="F46" s="523"/>
      <c r="G46" s="32"/>
      <c r="H46" s="290">
        <f t="shared" si="3"/>
        <v>0</v>
      </c>
      <c r="I46" s="31"/>
      <c r="J46" s="216"/>
      <c r="K46" s="93">
        <f t="shared" si="4"/>
        <v>0</v>
      </c>
      <c r="L46" s="33"/>
      <c r="M46" s="95">
        <f t="shared" si="5"/>
        <v>0</v>
      </c>
      <c r="N46" s="33"/>
    </row>
    <row r="47" spans="1:14" ht="15">
      <c r="A47" s="101"/>
      <c r="B47" s="297" t="s">
        <v>221</v>
      </c>
      <c r="C47" s="31"/>
      <c r="D47" s="523"/>
      <c r="E47" s="523"/>
      <c r="F47" s="523"/>
      <c r="G47" s="32"/>
      <c r="H47" s="290">
        <f t="shared" si="3"/>
        <v>0</v>
      </c>
      <c r="I47" s="31"/>
      <c r="J47" s="216"/>
      <c r="K47" s="93">
        <f t="shared" si="4"/>
        <v>0</v>
      </c>
      <c r="L47" s="33"/>
      <c r="M47" s="95">
        <f t="shared" si="5"/>
        <v>0</v>
      </c>
      <c r="N47" s="33"/>
    </row>
    <row r="48" spans="1:14" ht="15">
      <c r="A48" s="101"/>
      <c r="B48" s="297"/>
      <c r="C48" s="31"/>
      <c r="D48" s="523"/>
      <c r="E48" s="523"/>
      <c r="F48" s="523"/>
      <c r="G48" s="32"/>
      <c r="H48" s="290">
        <f t="shared" si="3"/>
        <v>0</v>
      </c>
      <c r="I48" s="31"/>
      <c r="J48" s="216"/>
      <c r="K48" s="93">
        <f t="shared" si="4"/>
        <v>0</v>
      </c>
      <c r="L48" s="33"/>
      <c r="M48" s="95">
        <f t="shared" si="5"/>
        <v>0</v>
      </c>
      <c r="N48" s="33"/>
    </row>
    <row r="49" spans="1:14" ht="15">
      <c r="A49" s="101"/>
      <c r="B49" s="297"/>
      <c r="C49" s="31"/>
      <c r="D49" s="523"/>
      <c r="E49" s="523"/>
      <c r="F49" s="523"/>
      <c r="G49" s="32"/>
      <c r="H49" s="290">
        <f t="shared" si="3"/>
        <v>0</v>
      </c>
      <c r="I49" s="31"/>
      <c r="J49" s="216"/>
      <c r="K49" s="93">
        <f t="shared" si="4"/>
        <v>0</v>
      </c>
      <c r="L49" s="33"/>
      <c r="M49" s="95">
        <f t="shared" si="5"/>
        <v>0</v>
      </c>
      <c r="N49" s="33"/>
    </row>
    <row r="50" spans="1:14" ht="15">
      <c r="A50" s="101"/>
      <c r="B50" s="297"/>
      <c r="C50" s="31"/>
      <c r="D50" s="523"/>
      <c r="E50" s="523"/>
      <c r="F50" s="523"/>
      <c r="G50" s="32"/>
      <c r="H50" s="290">
        <f t="shared" si="3"/>
        <v>0</v>
      </c>
      <c r="I50" s="31"/>
      <c r="J50" s="216"/>
      <c r="K50" s="93">
        <f t="shared" si="4"/>
        <v>0</v>
      </c>
      <c r="L50" s="33"/>
      <c r="M50" s="95">
        <f t="shared" si="5"/>
        <v>0</v>
      </c>
      <c r="N50" s="33"/>
    </row>
    <row r="51" spans="1:14" ht="15">
      <c r="B51" s="299"/>
      <c r="C51" s="31"/>
      <c r="D51" s="523"/>
      <c r="E51" s="523"/>
      <c r="F51" s="523"/>
      <c r="G51" s="32"/>
      <c r="H51" s="290">
        <f t="shared" si="3"/>
        <v>0</v>
      </c>
      <c r="I51" s="31"/>
      <c r="J51" s="216"/>
      <c r="K51" s="93">
        <f t="shared" si="4"/>
        <v>0</v>
      </c>
      <c r="L51" s="33"/>
      <c r="M51" s="95">
        <f t="shared" si="5"/>
        <v>0</v>
      </c>
      <c r="N51" s="33"/>
    </row>
    <row r="52" spans="1:14" ht="15">
      <c r="A52" s="101"/>
      <c r="B52" s="297"/>
      <c r="C52" s="31"/>
      <c r="D52" s="523"/>
      <c r="E52" s="523"/>
      <c r="F52" s="523"/>
      <c r="G52" s="32"/>
      <c r="H52" s="290">
        <f t="shared" si="3"/>
        <v>0</v>
      </c>
      <c r="I52" s="31"/>
      <c r="J52" s="216"/>
      <c r="K52" s="93">
        <f t="shared" si="4"/>
        <v>0</v>
      </c>
      <c r="L52" s="33"/>
      <c r="M52" s="95">
        <f t="shared" si="5"/>
        <v>0</v>
      </c>
      <c r="N52" s="33"/>
    </row>
    <row r="53" spans="1:14" ht="18">
      <c r="B53" s="431"/>
      <c r="C53" s="432"/>
      <c r="D53" s="432"/>
      <c r="E53" s="432"/>
      <c r="F53" s="432"/>
      <c r="G53" s="433" t="s">
        <v>9</v>
      </c>
      <c r="H53" s="429">
        <f>SUM(H15:H52)</f>
        <v>0</v>
      </c>
      <c r="I53" s="434"/>
      <c r="J53" s="435"/>
      <c r="K53" s="430"/>
      <c r="L53" s="430" t="s">
        <v>9</v>
      </c>
      <c r="M53" s="429">
        <f>SUM(M15:M52)</f>
        <v>0</v>
      </c>
      <c r="N53" s="434"/>
    </row>
  </sheetData>
  <sheetProtection algorithmName="SHA-512" hashValue="cYH+3ZEHE2d2f+/LXnp857hHnYtDphoTzYQ2kFC6aMz1nfTCsZYeA7ldq0htCX3Fr+bQWNzbcplJF60FCcT3Iw==" saltValue="4tdvw27+OjGDQ9zTbzoPFw==" spinCount="100000" sheet="1" autoFilter="0"/>
  <autoFilter ref="B13:B52" xr:uid="{00000000-0009-0000-0000-000008000000}"/>
  <mergeCells count="8">
    <mergeCell ref="B2:N2"/>
    <mergeCell ref="B3:N3"/>
    <mergeCell ref="B12:I12"/>
    <mergeCell ref="K12:N12"/>
    <mergeCell ref="B29:I29"/>
    <mergeCell ref="K29:N29"/>
    <mergeCell ref="B14:I14"/>
    <mergeCell ref="K14:N14"/>
  </mergeCells>
  <dataValidations count="2">
    <dataValidation type="list" allowBlank="1" showInputMessage="1" showErrorMessage="1" sqref="L15:L28 L30:L52" xr:uid="{00000000-0002-0000-0800-000000000000}">
      <formula1>"מאושר, לא מאושר"</formula1>
    </dataValidation>
    <dataValidation type="list" allowBlank="1" showInputMessage="1" showErrorMessage="1" sqref="G15:G28 G30:G52" xr:uid="{00000000-0002-0000-0800-000001000000}">
      <formula1>"הצעה א, הצעה ב, הצעה ג"</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גיליון14"/>
  <dimension ref="A1:Q21"/>
  <sheetViews>
    <sheetView showGridLines="0" rightToLeft="1" workbookViewId="0">
      <selection activeCell="C10" sqref="C10:C20"/>
    </sheetView>
  </sheetViews>
  <sheetFormatPr defaultColWidth="9.125" defaultRowHeight="15"/>
  <cols>
    <col min="1" max="1" width="3" style="171" customWidth="1"/>
    <col min="2" max="2" width="36.375" style="171" customWidth="1"/>
    <col min="3" max="3" width="15.25" style="171" customWidth="1"/>
    <col min="4" max="4" width="10.25" style="171" customWidth="1"/>
    <col min="5" max="5" width="10.875" style="171" customWidth="1"/>
    <col min="6" max="6" width="4.875" style="172" customWidth="1"/>
    <col min="7" max="7" width="10.625" style="171" customWidth="1"/>
    <col min="8" max="9" width="9.125" style="171"/>
    <col min="10" max="10" width="13.875" style="171" customWidth="1"/>
    <col min="11" max="11" width="5.125" style="171" customWidth="1"/>
    <col min="12" max="12" width="9.125" style="171"/>
    <col min="13" max="13" width="11.625" style="171" customWidth="1"/>
    <col min="14" max="14" width="9.125" style="171"/>
    <col min="15" max="15" width="16.375" style="171" customWidth="1"/>
    <col min="16" max="16" width="6.375" style="171" customWidth="1"/>
    <col min="17" max="16384" width="9.125" style="171"/>
  </cols>
  <sheetData>
    <row r="1" spans="1:17" s="169" customFormat="1" ht="16.5" thickBot="1">
      <c r="A1" s="171"/>
      <c r="B1" s="171"/>
      <c r="C1" s="171"/>
      <c r="D1" s="171"/>
      <c r="E1" s="171"/>
      <c r="F1" s="172"/>
      <c r="G1" s="171"/>
      <c r="H1" s="171"/>
      <c r="I1" s="171"/>
      <c r="J1" s="171"/>
      <c r="K1" s="171"/>
      <c r="L1" s="171"/>
      <c r="M1" s="171"/>
      <c r="N1" s="171"/>
      <c r="O1" s="171"/>
      <c r="P1" s="171"/>
    </row>
    <row r="2" spans="1:17" s="169" customFormat="1" ht="24.95" customHeight="1" thickBot="1">
      <c r="A2" s="156"/>
      <c r="B2" s="610" t="s">
        <v>148</v>
      </c>
      <c r="C2" s="611"/>
      <c r="D2" s="611"/>
      <c r="E2" s="611"/>
      <c r="F2" s="611"/>
      <c r="G2" s="611"/>
      <c r="H2" s="611"/>
      <c r="I2" s="611"/>
      <c r="J2" s="611"/>
      <c r="K2" s="611"/>
      <c r="L2" s="611"/>
      <c r="M2" s="611"/>
      <c r="N2" s="611"/>
      <c r="O2" s="612"/>
      <c r="P2" s="156"/>
    </row>
    <row r="3" spans="1:17" s="169" customFormat="1" ht="24.95" customHeight="1" thickBot="1">
      <c r="A3" s="353"/>
      <c r="B3" s="576" t="s">
        <v>342</v>
      </c>
      <c r="C3" s="576"/>
      <c r="D3" s="576"/>
      <c r="E3" s="576"/>
      <c r="F3" s="576"/>
      <c r="G3" s="576"/>
      <c r="H3" s="576"/>
      <c r="I3" s="576"/>
      <c r="J3" s="576"/>
      <c r="K3" s="576"/>
      <c r="L3" s="576"/>
      <c r="M3" s="576"/>
      <c r="N3" s="576"/>
      <c r="O3" s="576"/>
      <c r="P3" s="353"/>
    </row>
    <row r="4" spans="1:17" s="169" customFormat="1" ht="15.75" customHeight="1">
      <c r="A4" s="156"/>
      <c r="B4" s="137" t="s">
        <v>352</v>
      </c>
      <c r="C4" s="138"/>
      <c r="D4" s="138"/>
      <c r="E4" s="138"/>
      <c r="F4" s="139"/>
      <c r="G4" s="139"/>
      <c r="H4" s="139"/>
      <c r="I4" s="139"/>
      <c r="J4" s="139"/>
      <c r="K4" s="139"/>
      <c r="L4" s="139"/>
      <c r="M4" s="139"/>
      <c r="N4" s="139"/>
      <c r="O4" s="140"/>
      <c r="P4" s="171"/>
      <c r="Q4" s="171"/>
    </row>
    <row r="5" spans="1:17" ht="15" customHeight="1">
      <c r="A5" s="156"/>
      <c r="B5" s="111" t="s">
        <v>345</v>
      </c>
      <c r="C5" s="352"/>
      <c r="D5" s="352"/>
      <c r="E5" s="352"/>
      <c r="F5" s="141"/>
      <c r="G5" s="141"/>
      <c r="H5" s="141"/>
      <c r="I5" s="141"/>
      <c r="J5" s="141"/>
      <c r="K5" s="141"/>
      <c r="L5" s="141"/>
      <c r="M5" s="141"/>
      <c r="N5" s="141"/>
      <c r="O5" s="142"/>
    </row>
    <row r="6" spans="1:17" ht="15" customHeight="1">
      <c r="A6" s="156"/>
      <c r="B6" s="143" t="s">
        <v>351</v>
      </c>
      <c r="C6" s="352"/>
      <c r="D6" s="352"/>
      <c r="E6" s="352"/>
      <c r="F6" s="141"/>
      <c r="G6" s="141"/>
      <c r="H6" s="141"/>
      <c r="I6" s="141"/>
      <c r="J6" s="141"/>
      <c r="K6" s="141"/>
      <c r="L6" s="141"/>
      <c r="M6" s="141"/>
      <c r="N6" s="141"/>
      <c r="O6" s="142"/>
    </row>
    <row r="7" spans="1:17" ht="15.75" customHeight="1" thickBot="1">
      <c r="A7" s="156"/>
      <c r="B7" s="144" t="s">
        <v>348</v>
      </c>
      <c r="C7" s="145"/>
      <c r="D7" s="145"/>
      <c r="E7" s="145"/>
      <c r="F7" s="146"/>
      <c r="G7" s="146"/>
      <c r="H7" s="146"/>
      <c r="I7" s="146"/>
      <c r="J7" s="146"/>
      <c r="K7" s="146"/>
      <c r="L7" s="146"/>
      <c r="M7" s="146"/>
      <c r="N7" s="146"/>
      <c r="O7" s="147"/>
    </row>
    <row r="9" spans="1:17" ht="18" customHeight="1">
      <c r="A9" s="118"/>
      <c r="B9" s="624" t="s">
        <v>107</v>
      </c>
      <c r="C9" s="625"/>
      <c r="D9" s="625"/>
      <c r="E9" s="626"/>
      <c r="F9" s="173"/>
      <c r="G9" s="627" t="s">
        <v>87</v>
      </c>
      <c r="H9" s="628"/>
      <c r="I9" s="628"/>
      <c r="J9" s="629"/>
      <c r="K9" s="16"/>
      <c r="L9" s="551" t="s">
        <v>330</v>
      </c>
      <c r="M9" s="552"/>
      <c r="N9" s="552"/>
      <c r="O9" s="553"/>
      <c r="P9" s="118"/>
    </row>
    <row r="10" spans="1:17" ht="47.25">
      <c r="A10" s="169"/>
      <c r="B10" s="163" t="s">
        <v>99</v>
      </c>
      <c r="C10" s="163" t="s">
        <v>100</v>
      </c>
      <c r="D10" s="163" t="s">
        <v>47</v>
      </c>
      <c r="E10" s="163" t="s">
        <v>101</v>
      </c>
      <c r="F10" s="174"/>
      <c r="G10" s="166" t="s">
        <v>102</v>
      </c>
      <c r="H10" s="166" t="s">
        <v>103</v>
      </c>
      <c r="I10" s="322" t="s">
        <v>89</v>
      </c>
      <c r="J10" s="163" t="s">
        <v>113</v>
      </c>
      <c r="K10" s="17"/>
      <c r="L10" s="166" t="s">
        <v>105</v>
      </c>
      <c r="M10" s="166" t="s">
        <v>128</v>
      </c>
      <c r="N10" s="163" t="s">
        <v>89</v>
      </c>
      <c r="O10" s="163" t="s">
        <v>328</v>
      </c>
      <c r="P10" s="169"/>
    </row>
    <row r="11" spans="1:17" ht="15.75">
      <c r="A11" s="169"/>
      <c r="B11" s="323" t="s">
        <v>353</v>
      </c>
      <c r="C11" s="324">
        <v>1</v>
      </c>
      <c r="D11" s="325">
        <v>5000</v>
      </c>
      <c r="E11" s="324">
        <f>C11*D11</f>
        <v>5000</v>
      </c>
      <c r="F11" s="174"/>
      <c r="G11" s="31"/>
      <c r="H11" s="244">
        <f>G11*D11</f>
        <v>0</v>
      </c>
      <c r="I11" s="132" t="str">
        <f>IF(H11=0,"",IF(OR(H11-$E11&gt;0,H11-$E11&lt;0),(H11-$E11)/$E11,""))</f>
        <v/>
      </c>
      <c r="J11" s="32"/>
      <c r="K11" s="17"/>
      <c r="L11" s="247">
        <f t="shared" ref="L11:L18" si="0">G11</f>
        <v>0</v>
      </c>
      <c r="M11" s="244">
        <f t="shared" ref="M11:M18" si="1">L11*D11</f>
        <v>0</v>
      </c>
      <c r="N11" s="326" t="str">
        <f t="shared" ref="N11:N18" si="2">IFERROR(IF(M11=0,"",IF(OR(M11-$E11&gt;0,M11-$E11&lt;0),(M11-$E11)/$E11,"")),"")</f>
        <v/>
      </c>
      <c r="O11" s="33"/>
      <c r="P11" s="169"/>
    </row>
    <row r="12" spans="1:17" ht="15.75">
      <c r="A12" s="169"/>
      <c r="B12" s="323" t="s">
        <v>354</v>
      </c>
      <c r="C12" s="324">
        <v>1</v>
      </c>
      <c r="D12" s="325">
        <v>5000</v>
      </c>
      <c r="E12" s="324">
        <f t="shared" ref="E12:E20" si="3">C12*D12</f>
        <v>5000</v>
      </c>
      <c r="F12" s="174"/>
      <c r="G12" s="31"/>
      <c r="H12" s="244">
        <f t="shared" ref="H12:H18" si="4">G12*D12</f>
        <v>0</v>
      </c>
      <c r="I12" s="132" t="str">
        <f t="shared" ref="I12:I18" si="5">IF(H12=0,"",IF(OR(H12-$E12&gt;0,H12-$E12&lt;0),(H12-$E12)/$E12,""))</f>
        <v/>
      </c>
      <c r="J12" s="32"/>
      <c r="K12" s="17"/>
      <c r="L12" s="247">
        <f t="shared" si="0"/>
        <v>0</v>
      </c>
      <c r="M12" s="244">
        <f t="shared" si="1"/>
        <v>0</v>
      </c>
      <c r="N12" s="326" t="str">
        <f t="shared" si="2"/>
        <v/>
      </c>
      <c r="O12" s="33"/>
      <c r="P12" s="169"/>
    </row>
    <row r="13" spans="1:17" ht="15.75">
      <c r="A13" s="169"/>
      <c r="B13" s="323" t="s">
        <v>355</v>
      </c>
      <c r="C13" s="324">
        <v>1</v>
      </c>
      <c r="D13" s="325">
        <v>5000</v>
      </c>
      <c r="E13" s="324">
        <f t="shared" si="3"/>
        <v>5000</v>
      </c>
      <c r="F13" s="174"/>
      <c r="G13" s="31"/>
      <c r="H13" s="244">
        <f t="shared" si="4"/>
        <v>0</v>
      </c>
      <c r="I13" s="132" t="str">
        <f t="shared" si="5"/>
        <v/>
      </c>
      <c r="J13" s="32"/>
      <c r="K13" s="17"/>
      <c r="L13" s="247">
        <f t="shared" si="0"/>
        <v>0</v>
      </c>
      <c r="M13" s="244">
        <f t="shared" si="1"/>
        <v>0</v>
      </c>
      <c r="N13" s="326" t="str">
        <f t="shared" si="2"/>
        <v/>
      </c>
      <c r="O13" s="33"/>
      <c r="P13" s="169"/>
    </row>
    <row r="14" spans="1:17" ht="15.75">
      <c r="A14" s="169"/>
      <c r="B14" s="323" t="s">
        <v>356</v>
      </c>
      <c r="C14" s="324">
        <v>1</v>
      </c>
      <c r="D14" s="325">
        <v>5000</v>
      </c>
      <c r="E14" s="324">
        <f t="shared" si="3"/>
        <v>5000</v>
      </c>
      <c r="F14" s="174"/>
      <c r="G14" s="31"/>
      <c r="H14" s="244">
        <f t="shared" si="4"/>
        <v>0</v>
      </c>
      <c r="I14" s="132" t="str">
        <f t="shared" si="5"/>
        <v/>
      </c>
      <c r="J14" s="32"/>
      <c r="K14" s="17"/>
      <c r="L14" s="247">
        <f t="shared" si="0"/>
        <v>0</v>
      </c>
      <c r="M14" s="244">
        <f t="shared" si="1"/>
        <v>0</v>
      </c>
      <c r="N14" s="326" t="str">
        <f t="shared" si="2"/>
        <v/>
      </c>
      <c r="O14" s="33"/>
      <c r="P14" s="169"/>
    </row>
    <row r="15" spans="1:17" ht="15.75">
      <c r="A15" s="169"/>
      <c r="B15" s="323" t="s">
        <v>357</v>
      </c>
      <c r="C15" s="324">
        <v>1</v>
      </c>
      <c r="D15" s="325">
        <v>5000</v>
      </c>
      <c r="E15" s="324">
        <f t="shared" si="3"/>
        <v>5000</v>
      </c>
      <c r="F15" s="174"/>
      <c r="G15" s="31"/>
      <c r="H15" s="244">
        <f t="shared" si="4"/>
        <v>0</v>
      </c>
      <c r="I15" s="132" t="str">
        <f t="shared" si="5"/>
        <v/>
      </c>
      <c r="J15" s="32"/>
      <c r="K15" s="17"/>
      <c r="L15" s="247">
        <f t="shared" si="0"/>
        <v>0</v>
      </c>
      <c r="M15" s="244">
        <f t="shared" si="1"/>
        <v>0</v>
      </c>
      <c r="N15" s="326" t="str">
        <f t="shared" si="2"/>
        <v/>
      </c>
      <c r="O15" s="33"/>
      <c r="P15" s="169"/>
    </row>
    <row r="16" spans="1:17" ht="15.75">
      <c r="A16" s="169"/>
      <c r="B16" s="327" t="s">
        <v>358</v>
      </c>
      <c r="C16" s="324">
        <v>1</v>
      </c>
      <c r="D16" s="325">
        <v>20000</v>
      </c>
      <c r="E16" s="324">
        <f t="shared" si="3"/>
        <v>20000</v>
      </c>
      <c r="F16" s="174"/>
      <c r="G16" s="31"/>
      <c r="H16" s="244">
        <f t="shared" si="4"/>
        <v>0</v>
      </c>
      <c r="I16" s="132" t="str">
        <f t="shared" si="5"/>
        <v/>
      </c>
      <c r="J16" s="32"/>
      <c r="K16" s="17"/>
      <c r="L16" s="247">
        <f t="shared" si="0"/>
        <v>0</v>
      </c>
      <c r="M16" s="244">
        <f t="shared" si="1"/>
        <v>0</v>
      </c>
      <c r="N16" s="326" t="str">
        <f t="shared" si="2"/>
        <v/>
      </c>
      <c r="O16" s="33"/>
      <c r="P16" s="169"/>
    </row>
    <row r="17" spans="1:16" ht="63.75" customHeight="1">
      <c r="A17" s="169"/>
      <c r="B17" s="327" t="s">
        <v>442</v>
      </c>
      <c r="C17" s="324">
        <v>1</v>
      </c>
      <c r="D17" s="325">
        <v>5000</v>
      </c>
      <c r="E17" s="324">
        <f t="shared" si="3"/>
        <v>5000</v>
      </c>
      <c r="F17" s="174"/>
      <c r="G17" s="31"/>
      <c r="H17" s="244">
        <f t="shared" si="4"/>
        <v>0</v>
      </c>
      <c r="I17" s="132" t="str">
        <f t="shared" si="5"/>
        <v/>
      </c>
      <c r="J17" s="32"/>
      <c r="K17" s="17"/>
      <c r="L17" s="247">
        <f t="shared" si="0"/>
        <v>0</v>
      </c>
      <c r="M17" s="244">
        <f t="shared" si="1"/>
        <v>0</v>
      </c>
      <c r="N17" s="326" t="str">
        <f t="shared" si="2"/>
        <v/>
      </c>
      <c r="O17" s="33"/>
      <c r="P17" s="169"/>
    </row>
    <row r="18" spans="1:16" ht="15.75">
      <c r="A18" s="169"/>
      <c r="B18" s="328" t="s">
        <v>341</v>
      </c>
      <c r="C18" s="324">
        <v>1</v>
      </c>
      <c r="D18" s="325">
        <v>5000</v>
      </c>
      <c r="E18" s="324">
        <f t="shared" si="3"/>
        <v>5000</v>
      </c>
      <c r="F18" s="174"/>
      <c r="G18" s="31"/>
      <c r="H18" s="244">
        <f t="shared" si="4"/>
        <v>0</v>
      </c>
      <c r="I18" s="326" t="str">
        <f t="shared" si="5"/>
        <v/>
      </c>
      <c r="J18" s="32"/>
      <c r="K18" s="17"/>
      <c r="L18" s="247">
        <f t="shared" si="0"/>
        <v>0</v>
      </c>
      <c r="M18" s="244">
        <f t="shared" si="1"/>
        <v>0</v>
      </c>
      <c r="N18" s="326" t="str">
        <f t="shared" si="2"/>
        <v/>
      </c>
      <c r="O18" s="33"/>
      <c r="P18" s="169"/>
    </row>
    <row r="19" spans="1:16" ht="15.75">
      <c r="A19" s="169"/>
      <c r="B19" s="328" t="s">
        <v>341</v>
      </c>
      <c r="C19" s="324">
        <v>1</v>
      </c>
      <c r="D19" s="325">
        <v>5000</v>
      </c>
      <c r="E19" s="324">
        <f t="shared" si="3"/>
        <v>5000</v>
      </c>
      <c r="F19" s="174"/>
      <c r="G19" s="31"/>
      <c r="H19" s="244">
        <f t="shared" ref="H19" si="6">G19*D19</f>
        <v>0</v>
      </c>
      <c r="I19" s="326" t="str">
        <f t="shared" ref="I19" si="7">IF(H19=0,"",IF(OR(H19-$E19&gt;0,H19-$E19&lt;0),(H19-$E19)/$E19,""))</f>
        <v/>
      </c>
      <c r="J19" s="32"/>
      <c r="K19" s="17"/>
      <c r="L19" s="247">
        <f t="shared" ref="L19" si="8">G19</f>
        <v>0</v>
      </c>
      <c r="M19" s="244">
        <f t="shared" ref="M19" si="9">L19*D19</f>
        <v>0</v>
      </c>
      <c r="N19" s="326" t="str">
        <f t="shared" ref="N19" si="10">IFERROR(IF(M19=0,"",IF(OR(M19-$E19&gt;0,M19-$E19&lt;0),(M19-$E19)/$E19,"")),"")</f>
        <v/>
      </c>
      <c r="O19" s="33"/>
      <c r="P19" s="169"/>
    </row>
    <row r="20" spans="1:16" ht="15.75">
      <c r="A20" s="169"/>
      <c r="B20" s="328" t="s">
        <v>341</v>
      </c>
      <c r="C20" s="324">
        <v>1</v>
      </c>
      <c r="D20" s="325">
        <v>5000</v>
      </c>
      <c r="E20" s="324">
        <f t="shared" si="3"/>
        <v>5000</v>
      </c>
      <c r="F20" s="174"/>
      <c r="G20" s="31"/>
      <c r="H20" s="244">
        <f t="shared" ref="H20" si="11">G20*D20</f>
        <v>0</v>
      </c>
      <c r="I20" s="326" t="str">
        <f t="shared" ref="I20" si="12">IF(H20=0,"",IF(OR(H20-$E20&gt;0,H20-$E20&lt;0),(H20-$E20)/$E20,""))</f>
        <v/>
      </c>
      <c r="J20" s="32"/>
      <c r="K20" s="17"/>
      <c r="L20" s="247">
        <f t="shared" ref="L20" si="13">G20</f>
        <v>0</v>
      </c>
      <c r="M20" s="244">
        <f t="shared" ref="M20" si="14">L20*D20</f>
        <v>0</v>
      </c>
      <c r="N20" s="326" t="str">
        <f t="shared" ref="N20" si="15">IFERROR(IF(M20=0,"",IF(OR(M20-$E20&gt;0,M20-$E20&lt;0),(M20-$E20)/$E20,"")),"")</f>
        <v/>
      </c>
      <c r="O20" s="33"/>
      <c r="P20" s="169"/>
    </row>
    <row r="21" spans="1:16" ht="18">
      <c r="B21" s="455"/>
      <c r="C21" s="455"/>
      <c r="D21" s="455"/>
      <c r="E21" s="455"/>
      <c r="F21" s="455"/>
      <c r="G21" s="452" t="s">
        <v>9</v>
      </c>
      <c r="H21" s="453">
        <f>SUM(H11:H18)</f>
        <v>0</v>
      </c>
      <c r="I21" s="630"/>
      <c r="J21" s="631"/>
      <c r="K21" s="455"/>
      <c r="L21" s="454" t="s">
        <v>9</v>
      </c>
      <c r="M21" s="453">
        <f>SUM(M11:M18)</f>
        <v>0</v>
      </c>
      <c r="N21" s="632"/>
      <c r="O21" s="632"/>
    </row>
  </sheetData>
  <sheetProtection algorithmName="SHA-512" hashValue="aQr4/VqXJAf0yZ82kVUZ1w61ZLR512/RYmCVs0MAAxV21dtD1WbD+ahvown2YAUloUkcRa9KdHCkQEwOnUnULA==" saltValue="GkfDf2GpYWQIvPP8K4iJrg==" spinCount="100000" sheet="1" objects="1" scenarios="1"/>
  <mergeCells count="7">
    <mergeCell ref="B2:O2"/>
    <mergeCell ref="B9:E9"/>
    <mergeCell ref="G9:J9"/>
    <mergeCell ref="I21:J21"/>
    <mergeCell ref="N21:O21"/>
    <mergeCell ref="B3:O3"/>
    <mergeCell ref="L9:O9"/>
  </mergeCells>
  <conditionalFormatting sqref="B11:B17">
    <cfRule type="cellIs" dxfId="6" priority="3" operator="equal">
      <formula>0</formula>
    </cfRule>
  </conditionalFormatting>
  <conditionalFormatting sqref="D11:D17">
    <cfRule type="cellIs" dxfId="5" priority="2" operator="equal">
      <formula>0</formula>
    </cfRule>
  </conditionalFormatting>
  <conditionalFormatting sqref="I11:I17">
    <cfRule type="cellIs" dxfId="4" priority="1" operator="greaterThan">
      <formula>0</formula>
    </cfRule>
  </conditionalFormatting>
  <conditionalFormatting sqref="N11:N20 I18:I20">
    <cfRule type="cellIs" dxfId="3" priority="4" operator="greaterThan">
      <formula>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גיליון15"/>
  <dimension ref="A1:Q14"/>
  <sheetViews>
    <sheetView showGridLines="0" rightToLeft="1" workbookViewId="0">
      <selection activeCell="G12" sqref="G12:G13"/>
    </sheetView>
  </sheetViews>
  <sheetFormatPr defaultColWidth="9" defaultRowHeight="14.25"/>
  <cols>
    <col min="1" max="1" width="3.25" style="122" customWidth="1"/>
    <col min="2" max="2" width="35.625" style="124" customWidth="1"/>
    <col min="3" max="3" width="9.875" style="122" bestFit="1" customWidth="1"/>
    <col min="4" max="4" width="11.875" style="122" customWidth="1"/>
    <col min="5" max="5" width="14" style="122" customWidth="1"/>
    <col min="6" max="6" width="6.25" style="122" customWidth="1"/>
    <col min="7" max="7" width="10.75" style="122" customWidth="1"/>
    <col min="8" max="8" width="14.625" style="122" customWidth="1"/>
    <col min="9" max="9" width="9" style="179"/>
    <col min="10" max="10" width="12.125" style="122" customWidth="1"/>
    <col min="11" max="11" width="5.625" style="122" customWidth="1"/>
    <col min="12" max="12" width="11" style="122" customWidth="1"/>
    <col min="13" max="13" width="15.375" style="122" customWidth="1"/>
    <col min="14" max="14" width="9" style="122"/>
    <col min="15" max="15" width="15" style="122" customWidth="1"/>
    <col min="16" max="16384" width="9" style="122"/>
  </cols>
  <sheetData>
    <row r="1" spans="1:17" ht="15" thickBot="1">
      <c r="A1" s="101"/>
      <c r="B1" s="101"/>
      <c r="C1" s="99"/>
      <c r="D1" s="99"/>
      <c r="E1" s="99"/>
      <c r="F1" s="101"/>
      <c r="G1" s="101"/>
      <c r="H1" s="101"/>
      <c r="I1" s="120"/>
      <c r="J1" s="101"/>
      <c r="K1" s="101"/>
      <c r="L1" s="101"/>
      <c r="M1" s="101"/>
      <c r="N1" s="101"/>
      <c r="O1" s="99"/>
    </row>
    <row r="2" spans="1:17" ht="24.95" customHeight="1" thickBot="1">
      <c r="A2" s="156"/>
      <c r="B2" s="610" t="s">
        <v>149</v>
      </c>
      <c r="C2" s="611"/>
      <c r="D2" s="611"/>
      <c r="E2" s="611"/>
      <c r="F2" s="611"/>
      <c r="G2" s="611"/>
      <c r="H2" s="611"/>
      <c r="I2" s="611"/>
      <c r="J2" s="611"/>
      <c r="K2" s="611"/>
      <c r="L2" s="611"/>
      <c r="M2" s="611"/>
      <c r="N2" s="611"/>
      <c r="O2" s="612"/>
    </row>
    <row r="3" spans="1:17" ht="24.95" customHeight="1" thickBot="1">
      <c r="A3" s="105"/>
      <c r="B3" s="576" t="s">
        <v>342</v>
      </c>
      <c r="C3" s="576"/>
      <c r="D3" s="576"/>
      <c r="E3" s="576"/>
      <c r="F3" s="576"/>
      <c r="G3" s="576"/>
      <c r="H3" s="576"/>
      <c r="I3" s="576"/>
      <c r="J3" s="576"/>
      <c r="K3" s="576"/>
      <c r="L3" s="576"/>
      <c r="M3" s="576"/>
      <c r="N3" s="576"/>
      <c r="O3" s="576"/>
      <c r="P3" s="365"/>
    </row>
    <row r="4" spans="1:17" ht="15.75" customHeight="1">
      <c r="A4" s="105"/>
      <c r="B4" s="137" t="s">
        <v>359</v>
      </c>
      <c r="C4" s="175"/>
      <c r="D4" s="175"/>
      <c r="E4" s="175"/>
      <c r="F4" s="175"/>
      <c r="G4" s="175"/>
      <c r="H4" s="175"/>
      <c r="I4" s="176"/>
      <c r="J4" s="175"/>
      <c r="K4" s="175"/>
      <c r="L4" s="175"/>
      <c r="M4" s="175"/>
      <c r="N4" s="175"/>
      <c r="O4" s="177"/>
    </row>
    <row r="5" spans="1:17" ht="15" customHeight="1">
      <c r="A5" s="105"/>
      <c r="B5" s="111" t="s">
        <v>345</v>
      </c>
      <c r="C5" s="141"/>
      <c r="D5" s="141"/>
      <c r="E5" s="141"/>
      <c r="F5" s="141"/>
      <c r="G5" s="141"/>
      <c r="H5" s="141"/>
      <c r="I5" s="345"/>
      <c r="J5" s="141"/>
      <c r="K5" s="141"/>
      <c r="L5" s="141"/>
      <c r="M5" s="141"/>
      <c r="N5" s="141"/>
      <c r="O5" s="142"/>
    </row>
    <row r="6" spans="1:17" s="171" customFormat="1" ht="15" customHeight="1">
      <c r="A6" s="156"/>
      <c r="B6" s="178" t="s">
        <v>165</v>
      </c>
      <c r="C6" s="141"/>
      <c r="D6" s="141"/>
      <c r="E6" s="141"/>
      <c r="F6" s="141"/>
      <c r="G6" s="141"/>
      <c r="H6" s="141"/>
      <c r="I6" s="345"/>
      <c r="J6" s="141"/>
      <c r="K6" s="141"/>
      <c r="L6" s="141"/>
      <c r="M6" s="141"/>
      <c r="N6" s="141"/>
      <c r="O6" s="142"/>
      <c r="P6" s="122"/>
    </row>
    <row r="7" spans="1:17" s="171" customFormat="1" ht="15.75" customHeight="1">
      <c r="A7" s="156"/>
      <c r="B7" s="143" t="s">
        <v>197</v>
      </c>
      <c r="C7" s="141"/>
      <c r="D7" s="141"/>
      <c r="E7" s="141"/>
      <c r="F7" s="141"/>
      <c r="G7" s="141"/>
      <c r="H7" s="141"/>
      <c r="I7" s="345"/>
      <c r="J7" s="141"/>
      <c r="K7" s="141"/>
      <c r="L7" s="141"/>
      <c r="M7" s="141"/>
      <c r="N7" s="141"/>
      <c r="O7" s="142"/>
      <c r="P7" s="122"/>
      <c r="Q7" s="122"/>
    </row>
    <row r="8" spans="1:17" s="171" customFormat="1" ht="15.75" customHeight="1" thickBot="1">
      <c r="A8" s="156"/>
      <c r="B8" s="332" t="s">
        <v>361</v>
      </c>
      <c r="C8" s="146"/>
      <c r="D8" s="146"/>
      <c r="E8" s="146"/>
      <c r="F8" s="146"/>
      <c r="G8" s="146"/>
      <c r="H8" s="146"/>
      <c r="I8" s="262"/>
      <c r="J8" s="146"/>
      <c r="K8" s="146"/>
      <c r="L8" s="146"/>
      <c r="M8" s="146"/>
      <c r="N8" s="146"/>
      <c r="O8" s="147"/>
      <c r="P8" s="122"/>
      <c r="Q8" s="122"/>
    </row>
    <row r="9" spans="1:17">
      <c r="A9" s="101"/>
      <c r="B9" s="101"/>
      <c r="C9" s="99"/>
      <c r="D9" s="99"/>
      <c r="E9" s="99"/>
      <c r="F9" s="101"/>
      <c r="G9" s="101"/>
      <c r="H9" s="101"/>
      <c r="I9" s="120"/>
      <c r="J9" s="101"/>
      <c r="K9" s="101"/>
      <c r="L9" s="101"/>
      <c r="M9" s="101"/>
      <c r="N9" s="101"/>
      <c r="O9" s="99"/>
    </row>
    <row r="10" spans="1:17" ht="18" customHeight="1">
      <c r="A10" s="118"/>
      <c r="B10" s="624" t="s">
        <v>150</v>
      </c>
      <c r="C10" s="625"/>
      <c r="D10" s="625"/>
      <c r="E10" s="626"/>
      <c r="F10" s="118"/>
      <c r="G10" s="627" t="s">
        <v>87</v>
      </c>
      <c r="H10" s="628"/>
      <c r="I10" s="628"/>
      <c r="J10" s="629"/>
      <c r="K10" s="16"/>
      <c r="L10" s="551" t="s">
        <v>330</v>
      </c>
      <c r="M10" s="552"/>
      <c r="N10" s="552"/>
      <c r="O10" s="553"/>
    </row>
    <row r="11" spans="1:17" ht="31.5">
      <c r="A11" s="169"/>
      <c r="B11" s="329" t="s">
        <v>99</v>
      </c>
      <c r="C11" s="330" t="s">
        <v>100</v>
      </c>
      <c r="D11" s="330" t="s">
        <v>47</v>
      </c>
      <c r="E11" s="330" t="s">
        <v>101</v>
      </c>
      <c r="F11" s="174"/>
      <c r="G11" s="166" t="s">
        <v>102</v>
      </c>
      <c r="H11" s="166" t="s">
        <v>127</v>
      </c>
      <c r="I11" s="322" t="s">
        <v>89</v>
      </c>
      <c r="J11" s="163" t="s">
        <v>104</v>
      </c>
      <c r="K11" s="17"/>
      <c r="L11" s="166" t="s">
        <v>105</v>
      </c>
      <c r="M11" s="166" t="s">
        <v>128</v>
      </c>
      <c r="N11" s="163" t="s">
        <v>89</v>
      </c>
      <c r="O11" s="163" t="s">
        <v>129</v>
      </c>
    </row>
    <row r="12" spans="1:17" ht="15.75">
      <c r="A12" s="169"/>
      <c r="B12" s="269" t="s">
        <v>418</v>
      </c>
      <c r="C12" s="331">
        <v>1</v>
      </c>
      <c r="D12" s="95">
        <v>35000</v>
      </c>
      <c r="E12" s="95">
        <f>D12*C12</f>
        <v>35000</v>
      </c>
      <c r="F12" s="174"/>
      <c r="G12" s="31"/>
      <c r="H12" s="244">
        <f>G12*D12</f>
        <v>0</v>
      </c>
      <c r="I12" s="132" t="str">
        <f>IF(H12=0,"",IF(OR(H12-$E12&gt;0,H12-$E12&lt;0),(H12-$E12)/$E12,""))</f>
        <v/>
      </c>
      <c r="J12" s="32"/>
      <c r="K12" s="17"/>
      <c r="L12" s="247">
        <f>G12</f>
        <v>0</v>
      </c>
      <c r="M12" s="244">
        <f>L12*D12</f>
        <v>0</v>
      </c>
      <c r="N12" s="326" t="str">
        <f t="shared" ref="N12:N13" si="0">IFERROR(IF(M12=0,"",IF(OR(M12-$E12&gt;0,M12-$E12&lt;0),(M12-$E12)/$E12,"")),"")</f>
        <v/>
      </c>
      <c r="O12" s="33"/>
    </row>
    <row r="13" spans="1:17" ht="15.75">
      <c r="A13" s="169"/>
      <c r="B13" s="269" t="s">
        <v>334</v>
      </c>
      <c r="C13" s="331">
        <v>1</v>
      </c>
      <c r="D13" s="95">
        <v>15000</v>
      </c>
      <c r="E13" s="95">
        <f t="shared" ref="E13" si="1">D13*C13</f>
        <v>15000</v>
      </c>
      <c r="F13" s="174"/>
      <c r="G13" s="31"/>
      <c r="H13" s="364">
        <f t="shared" ref="H13" si="2">G13*D13</f>
        <v>0</v>
      </c>
      <c r="I13" s="132" t="str">
        <f t="shared" ref="I13" si="3">IF(H13=0,"",IF(OR(H13-$E13&gt;0,H13-$E13&lt;0),(H13-$E13)/$E13,""))</f>
        <v/>
      </c>
      <c r="J13" s="32"/>
      <c r="K13" s="17"/>
      <c r="L13" s="247">
        <f>G13</f>
        <v>0</v>
      </c>
      <c r="M13" s="364">
        <f>L13*D13</f>
        <v>0</v>
      </c>
      <c r="N13" s="326" t="str">
        <f t="shared" si="0"/>
        <v/>
      </c>
      <c r="O13" s="33"/>
    </row>
    <row r="14" spans="1:17" ht="18">
      <c r="A14" s="101"/>
      <c r="B14" s="450"/>
      <c r="C14" s="450"/>
      <c r="D14" s="450"/>
      <c r="E14" s="450"/>
      <c r="F14" s="450"/>
      <c r="G14" s="456" t="s">
        <v>9</v>
      </c>
      <c r="H14" s="448">
        <f>SUM(H2:H13)</f>
        <v>0</v>
      </c>
      <c r="I14" s="633"/>
      <c r="J14" s="634"/>
      <c r="K14" s="450"/>
      <c r="L14" s="457" t="s">
        <v>9</v>
      </c>
      <c r="M14" s="448">
        <f>SUM(M2:M13)</f>
        <v>0</v>
      </c>
      <c r="N14" s="633"/>
      <c r="O14" s="634"/>
    </row>
  </sheetData>
  <sheetProtection algorithmName="SHA-512" hashValue="Xcvfm6mYQXlEC9gtKFbymmkpA7sLdVdJz4dJBRy5W2D5KeFZzEGqskURu6zZs6bjld8dJUZymIhpezmyRQAfEA==" saltValue="NfeVqrHpTgm2LbbZiMJ2Og==" spinCount="100000" sheet="1" objects="1" scenarios="1"/>
  <mergeCells count="7">
    <mergeCell ref="N14:O14"/>
    <mergeCell ref="B2:O2"/>
    <mergeCell ref="B10:E10"/>
    <mergeCell ref="G10:J10"/>
    <mergeCell ref="I14:J14"/>
    <mergeCell ref="B3:O3"/>
    <mergeCell ref="L10:O10"/>
  </mergeCells>
  <conditionalFormatting sqref="I12:I13">
    <cfRule type="cellIs" dxfId="2" priority="1" operator="greaterThan">
      <formula>0</formula>
    </cfRule>
  </conditionalFormatting>
  <conditionalFormatting sqref="N12:N13">
    <cfRule type="cellIs" dxfId="1" priority="3" operator="greaterThan">
      <formula>0</formula>
    </cfRule>
  </conditionalFormatting>
  <hyperlinks>
    <hyperlink ref="B12" display="פינת קפה וציוד נילווה"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16"/>
  <dimension ref="A1:P22"/>
  <sheetViews>
    <sheetView showGridLines="0" rightToLeft="1" workbookViewId="0">
      <selection activeCell="G11" sqref="G11"/>
    </sheetView>
  </sheetViews>
  <sheetFormatPr defaultColWidth="9" defaultRowHeight="14.25"/>
  <cols>
    <col min="1" max="1" width="2.75" style="101" customWidth="1"/>
    <col min="2" max="2" width="53" style="101" customWidth="1"/>
    <col min="3" max="3" width="11.25" style="99" customWidth="1"/>
    <col min="4" max="4" width="16.25" style="99" customWidth="1"/>
    <col min="5" max="5" width="14.625" style="99" customWidth="1"/>
    <col min="6" max="6" width="6.875" style="101" customWidth="1"/>
    <col min="7" max="7" width="14" style="101" customWidth="1"/>
    <col min="8" max="8" width="15.875" style="101" customWidth="1"/>
    <col min="9" max="9" width="12.125" style="101" customWidth="1"/>
    <col min="10" max="10" width="13" style="101" customWidth="1"/>
    <col min="11" max="11" width="9" style="101"/>
    <col min="12" max="12" width="13.25" style="101" customWidth="1"/>
    <col min="13" max="13" width="15.625" style="101" customWidth="1"/>
    <col min="14" max="14" width="9" style="101"/>
    <col min="15" max="15" width="13.75" style="101" customWidth="1"/>
    <col min="16" max="16384" width="9" style="101"/>
  </cols>
  <sheetData>
    <row r="1" spans="1:16" ht="15" thickBot="1"/>
    <row r="2" spans="1:16" ht="24.95" customHeight="1" thickBot="1">
      <c r="A2" s="156"/>
      <c r="B2" s="610" t="s">
        <v>160</v>
      </c>
      <c r="C2" s="611"/>
      <c r="D2" s="611"/>
      <c r="E2" s="611"/>
      <c r="F2" s="611"/>
      <c r="G2" s="611"/>
      <c r="H2" s="611"/>
      <c r="I2" s="611"/>
      <c r="J2" s="611"/>
      <c r="K2" s="611"/>
      <c r="L2" s="611"/>
      <c r="M2" s="611"/>
      <c r="N2" s="611"/>
      <c r="O2" s="612"/>
    </row>
    <row r="3" spans="1:16" ht="24.95" customHeight="1" thickBot="1">
      <c r="A3" s="355"/>
      <c r="B3" s="576" t="s">
        <v>92</v>
      </c>
      <c r="C3" s="576"/>
      <c r="D3" s="576"/>
      <c r="E3" s="576"/>
      <c r="F3" s="576"/>
      <c r="G3" s="576"/>
      <c r="H3" s="576"/>
      <c r="I3" s="576"/>
      <c r="J3" s="576"/>
      <c r="K3" s="576"/>
      <c r="L3" s="576"/>
      <c r="M3" s="576"/>
      <c r="N3" s="576"/>
      <c r="O3" s="576"/>
      <c r="P3" s="356"/>
    </row>
    <row r="4" spans="1:16" ht="15.75" customHeight="1">
      <c r="A4" s="105"/>
      <c r="B4" s="180" t="s">
        <v>450</v>
      </c>
      <c r="C4" s="175"/>
      <c r="D4" s="175"/>
      <c r="E4" s="175"/>
      <c r="F4" s="175"/>
      <c r="G4" s="175"/>
      <c r="H4" s="175"/>
      <c r="I4" s="175"/>
      <c r="J4" s="175"/>
      <c r="K4" s="175"/>
      <c r="L4" s="175"/>
      <c r="M4" s="175"/>
      <c r="N4" s="175"/>
      <c r="O4" s="177"/>
    </row>
    <row r="5" spans="1:16" ht="15" customHeight="1">
      <c r="A5" s="105"/>
      <c r="B5" s="111" t="s">
        <v>345</v>
      </c>
      <c r="C5" s="141"/>
      <c r="D5" s="141"/>
      <c r="E5" s="141"/>
      <c r="F5" s="141"/>
      <c r="G5" s="141"/>
      <c r="H5" s="141"/>
      <c r="I5" s="141"/>
      <c r="J5" s="141"/>
      <c r="K5" s="141"/>
      <c r="L5" s="141"/>
      <c r="M5" s="141"/>
      <c r="N5" s="141"/>
      <c r="O5" s="142"/>
    </row>
    <row r="6" spans="1:16" ht="15.75" customHeight="1" thickBot="1">
      <c r="A6" s="105"/>
      <c r="B6" s="144" t="s">
        <v>197</v>
      </c>
      <c r="C6" s="146"/>
      <c r="D6" s="146"/>
      <c r="E6" s="146"/>
      <c r="F6" s="146"/>
      <c r="G6" s="146"/>
      <c r="H6" s="146"/>
      <c r="I6" s="146"/>
      <c r="J6" s="146"/>
      <c r="K6" s="146"/>
      <c r="L6" s="146"/>
      <c r="M6" s="146"/>
      <c r="N6" s="146"/>
      <c r="O6" s="147"/>
    </row>
    <row r="8" spans="1:16" ht="18" customHeight="1">
      <c r="A8" s="118"/>
      <c r="B8" s="624" t="s">
        <v>159</v>
      </c>
      <c r="C8" s="625"/>
      <c r="D8" s="625"/>
      <c r="E8" s="626"/>
      <c r="F8" s="173"/>
      <c r="G8" s="627" t="s">
        <v>87</v>
      </c>
      <c r="H8" s="628"/>
      <c r="I8" s="628"/>
      <c r="J8" s="629"/>
      <c r="K8" s="16"/>
      <c r="L8" s="551" t="s">
        <v>330</v>
      </c>
      <c r="M8" s="552"/>
      <c r="N8" s="552"/>
      <c r="O8" s="553"/>
    </row>
    <row r="9" spans="1:16" ht="31.5">
      <c r="A9" s="169"/>
      <c r="B9" s="329" t="s">
        <v>99</v>
      </c>
      <c r="C9" s="330" t="s">
        <v>100</v>
      </c>
      <c r="D9" s="330" t="s">
        <v>47</v>
      </c>
      <c r="E9" s="330" t="s">
        <v>101</v>
      </c>
      <c r="F9" s="174"/>
      <c r="G9" s="166" t="s">
        <v>102</v>
      </c>
      <c r="H9" s="166" t="s">
        <v>127</v>
      </c>
      <c r="I9" s="322" t="s">
        <v>89</v>
      </c>
      <c r="J9" s="163" t="s">
        <v>104</v>
      </c>
      <c r="K9" s="17"/>
      <c r="L9" s="166" t="s">
        <v>105</v>
      </c>
      <c r="M9" s="166" t="s">
        <v>128</v>
      </c>
      <c r="N9" s="163" t="s">
        <v>89</v>
      </c>
      <c r="O9" s="163" t="s">
        <v>129</v>
      </c>
    </row>
    <row r="10" spans="1:16" ht="15.75">
      <c r="A10" s="169"/>
      <c r="B10" s="397" t="s">
        <v>284</v>
      </c>
      <c r="C10" s="333">
        <v>1</v>
      </c>
      <c r="D10" s="333">
        <v>700</v>
      </c>
      <c r="E10" s="333">
        <f t="shared" ref="E10:E21" si="0">C10*D10</f>
        <v>700</v>
      </c>
      <c r="F10" s="174"/>
      <c r="G10" s="31"/>
      <c r="H10" s="95">
        <f t="shared" ref="H10:H21" si="1">G10*D10</f>
        <v>0</v>
      </c>
      <c r="I10" s="326" t="str">
        <f t="shared" ref="I10:I21" si="2">IF(H10=0,"",IF(OR(H10-$E10&gt;0,H10-$E10&lt;0),(H10-$E10)/$E10,""))</f>
        <v/>
      </c>
      <c r="J10" s="32"/>
      <c r="K10" s="17"/>
      <c r="L10" s="93">
        <f>G10</f>
        <v>0</v>
      </c>
      <c r="M10" s="95">
        <f>IFERROR(L10*D10,"")</f>
        <v>0</v>
      </c>
      <c r="N10" s="326" t="str">
        <f t="shared" ref="N10:N21" si="3">IFERROR(IF(M10=0,"",IF(OR(M10-$E10&gt;0,M10-$E10&lt;0),(M10-$E10)/$E10,"")),"")</f>
        <v/>
      </c>
      <c r="O10" s="33"/>
    </row>
    <row r="11" spans="1:16" ht="15.75">
      <c r="A11" s="169"/>
      <c r="B11" s="397" t="s">
        <v>188</v>
      </c>
      <c r="C11" s="331">
        <v>1</v>
      </c>
      <c r="D11" s="331">
        <v>3000</v>
      </c>
      <c r="E11" s="333">
        <f t="shared" si="0"/>
        <v>3000</v>
      </c>
      <c r="F11" s="174"/>
      <c r="G11" s="31"/>
      <c r="H11" s="95">
        <f t="shared" si="1"/>
        <v>0</v>
      </c>
      <c r="I11" s="326" t="str">
        <f t="shared" si="2"/>
        <v/>
      </c>
      <c r="J11" s="32"/>
      <c r="K11" s="17"/>
      <c r="L11" s="93">
        <f t="shared" ref="L11:L21" si="4">G11</f>
        <v>0</v>
      </c>
      <c r="M11" s="95">
        <f t="shared" ref="M11:M21" si="5">IFERROR(L11*D11,"")</f>
        <v>0</v>
      </c>
      <c r="N11" s="326" t="str">
        <f t="shared" si="3"/>
        <v/>
      </c>
      <c r="O11" s="33"/>
    </row>
    <row r="12" spans="1:16" ht="15.75">
      <c r="A12" s="169"/>
      <c r="B12" s="397" t="s">
        <v>137</v>
      </c>
      <c r="C12" s="331">
        <v>1</v>
      </c>
      <c r="D12" s="331">
        <v>3500</v>
      </c>
      <c r="E12" s="333">
        <f t="shared" si="0"/>
        <v>3500</v>
      </c>
      <c r="F12" s="174"/>
      <c r="G12" s="31"/>
      <c r="H12" s="95">
        <f t="shared" si="1"/>
        <v>0</v>
      </c>
      <c r="I12" s="326" t="str">
        <f t="shared" si="2"/>
        <v/>
      </c>
      <c r="J12" s="32"/>
      <c r="K12" s="17"/>
      <c r="L12" s="93">
        <f t="shared" si="4"/>
        <v>0</v>
      </c>
      <c r="M12" s="95">
        <f t="shared" si="5"/>
        <v>0</v>
      </c>
      <c r="N12" s="326" t="str">
        <f t="shared" si="3"/>
        <v/>
      </c>
      <c r="O12" s="33"/>
    </row>
    <row r="13" spans="1:16" ht="15.75">
      <c r="A13" s="169"/>
      <c r="B13" s="397" t="s">
        <v>138</v>
      </c>
      <c r="C13" s="331">
        <v>1</v>
      </c>
      <c r="D13" s="331">
        <v>3500</v>
      </c>
      <c r="E13" s="333">
        <f t="shared" si="0"/>
        <v>3500</v>
      </c>
      <c r="F13" s="174"/>
      <c r="G13" s="31"/>
      <c r="H13" s="95">
        <f t="shared" si="1"/>
        <v>0</v>
      </c>
      <c r="I13" s="326" t="str">
        <f t="shared" si="2"/>
        <v/>
      </c>
      <c r="J13" s="32"/>
      <c r="K13" s="17"/>
      <c r="L13" s="93">
        <f t="shared" si="4"/>
        <v>0</v>
      </c>
      <c r="M13" s="95">
        <f t="shared" si="5"/>
        <v>0</v>
      </c>
      <c r="N13" s="326" t="str">
        <f t="shared" si="3"/>
        <v/>
      </c>
      <c r="O13" s="33"/>
    </row>
    <row r="14" spans="1:16" ht="15.75">
      <c r="A14" s="169"/>
      <c r="B14" s="397" t="s">
        <v>139</v>
      </c>
      <c r="C14" s="331">
        <v>1</v>
      </c>
      <c r="D14" s="331">
        <v>3500</v>
      </c>
      <c r="E14" s="333">
        <f t="shared" si="0"/>
        <v>3500</v>
      </c>
      <c r="F14" s="174"/>
      <c r="G14" s="31"/>
      <c r="H14" s="95">
        <f t="shared" si="1"/>
        <v>0</v>
      </c>
      <c r="I14" s="326" t="str">
        <f t="shared" si="2"/>
        <v/>
      </c>
      <c r="J14" s="32"/>
      <c r="K14" s="17"/>
      <c r="L14" s="93">
        <f t="shared" si="4"/>
        <v>0</v>
      </c>
      <c r="M14" s="95">
        <f t="shared" si="5"/>
        <v>0</v>
      </c>
      <c r="N14" s="326" t="str">
        <f t="shared" si="3"/>
        <v/>
      </c>
      <c r="O14" s="33"/>
    </row>
    <row r="15" spans="1:16" ht="15.75">
      <c r="A15" s="169"/>
      <c r="B15" s="397" t="s">
        <v>140</v>
      </c>
      <c r="C15" s="331">
        <v>1</v>
      </c>
      <c r="D15" s="331">
        <v>2000</v>
      </c>
      <c r="E15" s="333">
        <f t="shared" si="0"/>
        <v>2000</v>
      </c>
      <c r="F15" s="174"/>
      <c r="G15" s="31"/>
      <c r="H15" s="95">
        <f t="shared" si="1"/>
        <v>0</v>
      </c>
      <c r="I15" s="326" t="str">
        <f t="shared" si="2"/>
        <v/>
      </c>
      <c r="J15" s="32"/>
      <c r="K15" s="17"/>
      <c r="L15" s="93">
        <f t="shared" si="4"/>
        <v>0</v>
      </c>
      <c r="M15" s="95">
        <f t="shared" si="5"/>
        <v>0</v>
      </c>
      <c r="N15" s="326" t="str">
        <f t="shared" si="3"/>
        <v/>
      </c>
      <c r="O15" s="33"/>
    </row>
    <row r="16" spans="1:16" ht="30">
      <c r="B16" s="397" t="s">
        <v>141</v>
      </c>
      <c r="C16" s="331">
        <v>1</v>
      </c>
      <c r="D16" s="331">
        <v>1200</v>
      </c>
      <c r="E16" s="333">
        <f t="shared" si="0"/>
        <v>1200</v>
      </c>
      <c r="F16" s="120"/>
      <c r="G16" s="31"/>
      <c r="H16" s="95">
        <f t="shared" si="1"/>
        <v>0</v>
      </c>
      <c r="I16" s="326" t="str">
        <f t="shared" si="2"/>
        <v/>
      </c>
      <c r="J16" s="32"/>
      <c r="K16" s="17"/>
      <c r="L16" s="93">
        <f t="shared" si="4"/>
        <v>0</v>
      </c>
      <c r="M16" s="95">
        <f t="shared" si="5"/>
        <v>0</v>
      </c>
      <c r="N16" s="326" t="str">
        <f t="shared" si="3"/>
        <v/>
      </c>
      <c r="O16" s="33"/>
    </row>
    <row r="17" spans="2:15" ht="15.75" customHeight="1">
      <c r="B17" s="397" t="s">
        <v>285</v>
      </c>
      <c r="C17" s="331">
        <v>1</v>
      </c>
      <c r="D17" s="331">
        <v>4000</v>
      </c>
      <c r="E17" s="333">
        <f t="shared" si="0"/>
        <v>4000</v>
      </c>
      <c r="F17" s="120"/>
      <c r="G17" s="31"/>
      <c r="H17" s="95">
        <f t="shared" si="1"/>
        <v>0</v>
      </c>
      <c r="I17" s="326" t="str">
        <f t="shared" si="2"/>
        <v/>
      </c>
      <c r="J17" s="32"/>
      <c r="K17" s="17"/>
      <c r="L17" s="93">
        <f t="shared" si="4"/>
        <v>0</v>
      </c>
      <c r="M17" s="95">
        <f t="shared" si="5"/>
        <v>0</v>
      </c>
      <c r="N17" s="326" t="str">
        <f t="shared" si="3"/>
        <v/>
      </c>
      <c r="O17" s="33"/>
    </row>
    <row r="18" spans="2:15" ht="28.5" customHeight="1">
      <c r="B18" s="397" t="s">
        <v>451</v>
      </c>
      <c r="C18" s="331">
        <v>1</v>
      </c>
      <c r="D18" s="331">
        <v>600</v>
      </c>
      <c r="E18" s="333">
        <f t="shared" si="0"/>
        <v>600</v>
      </c>
      <c r="F18" s="120"/>
      <c r="G18" s="31"/>
      <c r="H18" s="95">
        <f t="shared" si="1"/>
        <v>0</v>
      </c>
      <c r="I18" s="326" t="str">
        <f t="shared" si="2"/>
        <v/>
      </c>
      <c r="J18" s="32"/>
      <c r="K18" s="17"/>
      <c r="L18" s="93">
        <f t="shared" si="4"/>
        <v>0</v>
      </c>
      <c r="M18" s="95">
        <f t="shared" si="5"/>
        <v>0</v>
      </c>
      <c r="N18" s="326" t="str">
        <f t="shared" si="3"/>
        <v/>
      </c>
      <c r="O18" s="33"/>
    </row>
    <row r="19" spans="2:15" ht="15.75">
      <c r="B19" s="397" t="s">
        <v>162</v>
      </c>
      <c r="C19" s="331">
        <v>5</v>
      </c>
      <c r="D19" s="331">
        <v>1500</v>
      </c>
      <c r="E19" s="333">
        <f t="shared" si="0"/>
        <v>7500</v>
      </c>
      <c r="F19" s="120"/>
      <c r="G19" s="31"/>
      <c r="H19" s="95">
        <f t="shared" si="1"/>
        <v>0</v>
      </c>
      <c r="I19" s="326" t="str">
        <f t="shared" si="2"/>
        <v/>
      </c>
      <c r="J19" s="32"/>
      <c r="K19" s="17"/>
      <c r="L19" s="93">
        <f t="shared" si="4"/>
        <v>0</v>
      </c>
      <c r="M19" s="95">
        <f t="shared" si="5"/>
        <v>0</v>
      </c>
      <c r="N19" s="326" t="str">
        <f t="shared" si="3"/>
        <v/>
      </c>
      <c r="O19" s="33"/>
    </row>
    <row r="20" spans="2:15" ht="15.75">
      <c r="B20" s="397" t="s">
        <v>187</v>
      </c>
      <c r="C20" s="331">
        <v>5</v>
      </c>
      <c r="D20" s="331">
        <v>2500</v>
      </c>
      <c r="E20" s="333">
        <f t="shared" si="0"/>
        <v>12500</v>
      </c>
      <c r="F20" s="120"/>
      <c r="G20" s="31"/>
      <c r="H20" s="95">
        <f t="shared" si="1"/>
        <v>0</v>
      </c>
      <c r="I20" s="326" t="str">
        <f t="shared" si="2"/>
        <v/>
      </c>
      <c r="J20" s="32"/>
      <c r="K20" s="17"/>
      <c r="L20" s="93">
        <f t="shared" si="4"/>
        <v>0</v>
      </c>
      <c r="M20" s="95">
        <f t="shared" si="5"/>
        <v>0</v>
      </c>
      <c r="N20" s="326" t="str">
        <f t="shared" si="3"/>
        <v/>
      </c>
      <c r="O20" s="33"/>
    </row>
    <row r="21" spans="2:15" ht="30">
      <c r="B21" s="397" t="s">
        <v>108</v>
      </c>
      <c r="C21" s="331">
        <v>1</v>
      </c>
      <c r="D21" s="331">
        <v>4500</v>
      </c>
      <c r="E21" s="333">
        <f t="shared" si="0"/>
        <v>4500</v>
      </c>
      <c r="F21" s="120"/>
      <c r="G21" s="31"/>
      <c r="H21" s="363">
        <f t="shared" si="1"/>
        <v>0</v>
      </c>
      <c r="I21" s="326" t="str">
        <f t="shared" si="2"/>
        <v/>
      </c>
      <c r="J21" s="32"/>
      <c r="K21" s="17"/>
      <c r="L21" s="93">
        <f t="shared" si="4"/>
        <v>0</v>
      </c>
      <c r="M21" s="363">
        <f t="shared" si="5"/>
        <v>0</v>
      </c>
      <c r="N21" s="326" t="str">
        <f t="shared" si="3"/>
        <v/>
      </c>
      <c r="O21" s="33"/>
    </row>
    <row r="22" spans="2:15" ht="18">
      <c r="B22" s="450"/>
      <c r="C22" s="450"/>
      <c r="D22" s="450"/>
      <c r="E22" s="450"/>
      <c r="F22" s="450"/>
      <c r="G22" s="456" t="s">
        <v>9</v>
      </c>
      <c r="H22" s="448">
        <f>SUM(H10:H21)</f>
        <v>0</v>
      </c>
      <c r="I22" s="633"/>
      <c r="J22" s="634"/>
      <c r="K22" s="450"/>
      <c r="L22" s="457" t="s">
        <v>9</v>
      </c>
      <c r="M22" s="448">
        <f>SUM(M10:M21)</f>
        <v>0</v>
      </c>
      <c r="N22" s="633"/>
      <c r="O22" s="634"/>
    </row>
  </sheetData>
  <sheetProtection algorithmName="SHA-512" hashValue="2iu71O8mijZGLcMXPalcRtc9WKbFu3uao00Ce3H3soRmRsFG7ewmBfcfz740QdEEIuAqU3cyaNewFYWjpEPd6g==" saltValue="fAW1ZcACNj5dwJd5jpDGog==" spinCount="100000" sheet="1" objects="1" scenarios="1"/>
  <mergeCells count="7">
    <mergeCell ref="I22:J22"/>
    <mergeCell ref="N22:O22"/>
    <mergeCell ref="B2:O2"/>
    <mergeCell ref="G8:J8"/>
    <mergeCell ref="L8:O8"/>
    <mergeCell ref="B8:E8"/>
    <mergeCell ref="B3:O3"/>
  </mergeCells>
  <conditionalFormatting sqref="I10:I21 N10:N21">
    <cfRule type="cellIs" dxfId="0" priority="2" operator="greaterThan">
      <formula>0</formula>
    </cfRule>
  </conditionalFormatting>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17"/>
  <dimension ref="A1:AC73"/>
  <sheetViews>
    <sheetView showGridLines="0" rightToLeft="1" topLeftCell="A3" workbookViewId="0">
      <selection activeCell="N11" sqref="N11:N30"/>
    </sheetView>
  </sheetViews>
  <sheetFormatPr defaultColWidth="9" defaultRowHeight="14.25"/>
  <cols>
    <col min="1" max="1" width="3" style="122" customWidth="1"/>
    <col min="2" max="2" width="18" style="124" customWidth="1"/>
    <col min="3" max="3" width="9.125" style="124" customWidth="1"/>
    <col min="4" max="4" width="11" style="124" bestFit="1" customWidth="1"/>
    <col min="5" max="5" width="13" style="124" customWidth="1"/>
    <col min="6" max="7" width="13.625" style="124" customWidth="1"/>
    <col min="8" max="8" width="18.25" style="124" customWidth="1"/>
    <col min="9" max="9" width="12.25" style="124" customWidth="1"/>
    <col min="10" max="10" width="7" style="124" customWidth="1"/>
    <col min="11" max="11" width="8.375" style="122" customWidth="1"/>
    <col min="12" max="12" width="9" style="122" customWidth="1"/>
    <col min="13" max="13" width="15.25" style="122" customWidth="1"/>
    <col min="14" max="14" width="30.625" style="122" customWidth="1"/>
    <col min="15" max="16384" width="9" style="122"/>
  </cols>
  <sheetData>
    <row r="1" spans="1:29" s="181" customFormat="1" ht="16.5" thickBot="1">
      <c r="B1" s="121"/>
      <c r="C1" s="121"/>
      <c r="D1" s="121"/>
      <c r="E1" s="121"/>
      <c r="F1" s="121"/>
      <c r="G1" s="121"/>
      <c r="H1" s="121"/>
      <c r="I1" s="121"/>
      <c r="J1" s="121"/>
      <c r="K1" s="121"/>
      <c r="L1" s="121"/>
      <c r="M1" s="121"/>
      <c r="N1" s="121"/>
      <c r="O1" s="103"/>
      <c r="P1" s="103"/>
      <c r="Q1" s="103"/>
      <c r="R1" s="103"/>
      <c r="S1" s="103"/>
      <c r="T1" s="103"/>
      <c r="U1" s="168"/>
      <c r="V1" s="168"/>
      <c r="W1" s="168"/>
      <c r="X1" s="168"/>
      <c r="Y1" s="168"/>
      <c r="Z1" s="168"/>
      <c r="AA1" s="168"/>
      <c r="AB1" s="168"/>
      <c r="AC1" s="168"/>
    </row>
    <row r="2" spans="1:29" s="103" customFormat="1" ht="24.95" customHeight="1" thickBot="1">
      <c r="B2" s="557" t="s">
        <v>257</v>
      </c>
      <c r="C2" s="558"/>
      <c r="D2" s="558"/>
      <c r="E2" s="558"/>
      <c r="F2" s="558"/>
      <c r="G2" s="558"/>
      <c r="H2" s="558"/>
      <c r="I2" s="558"/>
      <c r="J2" s="558"/>
      <c r="K2" s="558"/>
      <c r="L2" s="558"/>
      <c r="M2" s="558"/>
      <c r="N2" s="559"/>
      <c r="O2" s="168"/>
      <c r="U2" s="168"/>
      <c r="V2" s="168"/>
      <c r="W2" s="168"/>
      <c r="X2" s="168"/>
      <c r="Y2" s="168"/>
      <c r="Z2" s="168"/>
      <c r="AA2" s="168"/>
      <c r="AB2" s="168"/>
      <c r="AC2" s="168"/>
    </row>
    <row r="3" spans="1:29" s="103" customFormat="1" ht="24.95" customHeight="1" thickBot="1">
      <c r="A3" s="351"/>
      <c r="B3" s="635" t="s">
        <v>342</v>
      </c>
      <c r="C3" s="636"/>
      <c r="D3" s="636"/>
      <c r="E3" s="636"/>
      <c r="F3" s="636"/>
      <c r="G3" s="636"/>
      <c r="H3" s="636"/>
      <c r="I3" s="636"/>
      <c r="J3" s="636"/>
      <c r="K3" s="636"/>
      <c r="L3" s="636"/>
      <c r="M3" s="636"/>
      <c r="N3" s="637"/>
      <c r="O3" s="168"/>
      <c r="U3" s="168"/>
      <c r="V3" s="168"/>
      <c r="W3" s="168"/>
      <c r="X3" s="168"/>
      <c r="Y3" s="168"/>
      <c r="Z3" s="168"/>
      <c r="AA3" s="168"/>
      <c r="AB3" s="168"/>
      <c r="AC3" s="168"/>
    </row>
    <row r="4" spans="1:29" s="103" customFormat="1" ht="15.75" customHeight="1">
      <c r="B4" s="182" t="s">
        <v>258</v>
      </c>
      <c r="C4" s="335"/>
      <c r="D4" s="335"/>
      <c r="E4" s="335"/>
      <c r="F4" s="335"/>
      <c r="G4" s="335"/>
      <c r="H4" s="335"/>
      <c r="I4" s="335"/>
      <c r="J4" s="335"/>
      <c r="K4" s="335"/>
      <c r="L4" s="335"/>
      <c r="M4" s="335"/>
      <c r="N4" s="336"/>
      <c r="O4" s="168"/>
      <c r="U4" s="168"/>
      <c r="V4" s="168"/>
      <c r="W4" s="168"/>
      <c r="X4" s="168"/>
      <c r="Y4" s="168"/>
      <c r="Z4" s="168"/>
      <c r="AA4" s="168"/>
      <c r="AB4" s="168"/>
      <c r="AC4" s="168"/>
    </row>
    <row r="5" spans="1:29" s="103" customFormat="1" ht="15.75" customHeight="1">
      <c r="B5" s="183" t="s">
        <v>360</v>
      </c>
      <c r="C5" s="511"/>
      <c r="D5" s="511"/>
      <c r="E5" s="511"/>
      <c r="F5" s="511"/>
      <c r="G5" s="511"/>
      <c r="H5" s="511"/>
      <c r="I5" s="511"/>
      <c r="J5" s="511"/>
      <c r="K5" s="512"/>
      <c r="L5" s="512"/>
      <c r="M5" s="512"/>
      <c r="N5" s="337"/>
      <c r="O5" s="168"/>
      <c r="U5" s="168"/>
      <c r="V5" s="168"/>
      <c r="W5" s="168"/>
      <c r="X5" s="168"/>
      <c r="Y5" s="168"/>
      <c r="Z5" s="168"/>
      <c r="AA5" s="168"/>
      <c r="AB5" s="168"/>
      <c r="AC5" s="168"/>
    </row>
    <row r="6" spans="1:29" s="103" customFormat="1" ht="15.75" customHeight="1">
      <c r="B6" s="111" t="s">
        <v>166</v>
      </c>
      <c r="C6" s="512"/>
      <c r="D6" s="512"/>
      <c r="E6" s="512"/>
      <c r="F6" s="512"/>
      <c r="G6" s="512"/>
      <c r="H6" s="512"/>
      <c r="I6" s="512"/>
      <c r="J6" s="512"/>
      <c r="K6" s="512"/>
      <c r="L6" s="512"/>
      <c r="M6" s="512"/>
      <c r="N6" s="337"/>
      <c r="O6" s="168"/>
      <c r="U6" s="168"/>
      <c r="V6" s="168"/>
      <c r="W6" s="168"/>
      <c r="X6" s="168"/>
      <c r="Y6" s="168"/>
      <c r="Z6" s="168"/>
      <c r="AA6" s="168"/>
      <c r="AB6" s="168"/>
      <c r="AC6" s="168"/>
    </row>
    <row r="7" spans="1:29" ht="16.5" customHeight="1" thickBot="1">
      <c r="B7" s="113" t="s">
        <v>167</v>
      </c>
      <c r="C7" s="338"/>
      <c r="D7" s="338"/>
      <c r="E7" s="338"/>
      <c r="F7" s="338"/>
      <c r="G7" s="338"/>
      <c r="H7" s="338"/>
      <c r="I7" s="338"/>
      <c r="J7" s="338"/>
      <c r="K7" s="338"/>
      <c r="L7" s="338"/>
      <c r="M7" s="338"/>
      <c r="N7" s="339"/>
      <c r="O7" s="168"/>
      <c r="U7" s="168"/>
      <c r="V7" s="168"/>
      <c r="W7" s="168"/>
      <c r="X7" s="168"/>
      <c r="Y7" s="168"/>
      <c r="Z7" s="168"/>
      <c r="AA7" s="168"/>
      <c r="AB7" s="168"/>
      <c r="AC7" s="168"/>
    </row>
    <row r="8" spans="1:29" ht="15.75">
      <c r="B8" s="340"/>
      <c r="C8" s="185"/>
      <c r="D8" s="185"/>
      <c r="E8" s="179"/>
      <c r="F8" s="340"/>
      <c r="G8" s="340"/>
      <c r="H8" s="340"/>
      <c r="I8" s="340"/>
      <c r="J8" s="340"/>
      <c r="K8" s="340"/>
      <c r="L8" s="119"/>
      <c r="M8" s="119"/>
      <c r="N8" s="119"/>
      <c r="O8" s="119"/>
      <c r="P8" s="184"/>
      <c r="Q8" s="184"/>
      <c r="R8" s="184"/>
      <c r="S8" s="184"/>
      <c r="T8" s="184"/>
      <c r="U8" s="168"/>
      <c r="V8" s="168"/>
      <c r="W8" s="168"/>
      <c r="X8" s="168"/>
      <c r="Y8" s="168"/>
      <c r="Z8" s="168"/>
      <c r="AA8" s="168"/>
      <c r="AB8" s="168"/>
      <c r="AC8" s="168"/>
    </row>
    <row r="9" spans="1:29" ht="25.5" customHeight="1">
      <c r="B9" s="640" t="s">
        <v>116</v>
      </c>
      <c r="C9" s="640"/>
      <c r="D9" s="640"/>
      <c r="E9" s="640"/>
      <c r="F9" s="640"/>
      <c r="G9" s="640"/>
      <c r="H9" s="640"/>
      <c r="I9" s="640"/>
      <c r="J9" s="185"/>
      <c r="K9" s="639" t="s">
        <v>330</v>
      </c>
      <c r="L9" s="639"/>
      <c r="M9" s="639"/>
      <c r="N9" s="639"/>
      <c r="O9" s="184"/>
      <c r="P9" s="184"/>
      <c r="Q9" s="184"/>
      <c r="R9" s="184"/>
      <c r="S9" s="184"/>
      <c r="T9" s="168"/>
      <c r="U9" s="168"/>
      <c r="V9" s="168"/>
      <c r="W9" s="168"/>
      <c r="X9" s="168"/>
      <c r="Y9" s="168"/>
      <c r="Z9" s="168"/>
      <c r="AA9" s="168"/>
      <c r="AB9" s="168"/>
    </row>
    <row r="10" spans="1:29" ht="75" customHeight="1">
      <c r="B10" s="186" t="s">
        <v>19</v>
      </c>
      <c r="C10" s="186" t="s">
        <v>88</v>
      </c>
      <c r="D10" s="186" t="s">
        <v>109</v>
      </c>
      <c r="E10" s="186" t="s">
        <v>110</v>
      </c>
      <c r="F10" s="186" t="s">
        <v>111</v>
      </c>
      <c r="G10" s="341" t="s">
        <v>260</v>
      </c>
      <c r="H10" s="186" t="s">
        <v>112</v>
      </c>
      <c r="I10" s="186" t="s">
        <v>259</v>
      </c>
      <c r="J10" s="185"/>
      <c r="K10" s="469" t="s">
        <v>105</v>
      </c>
      <c r="L10" s="470" t="s">
        <v>114</v>
      </c>
      <c r="M10" s="471" t="s">
        <v>106</v>
      </c>
      <c r="N10" s="470" t="s">
        <v>115</v>
      </c>
      <c r="O10" s="168"/>
      <c r="P10" s="168"/>
      <c r="Q10" s="168"/>
      <c r="R10" s="168"/>
      <c r="S10" s="168"/>
      <c r="T10" s="168"/>
      <c r="U10" s="168"/>
      <c r="V10" s="168"/>
      <c r="W10" s="168"/>
      <c r="X10" s="168"/>
      <c r="Y10" s="168"/>
      <c r="Z10" s="168"/>
      <c r="AA10" s="168"/>
      <c r="AB10" s="168"/>
    </row>
    <row r="11" spans="1:29" ht="15">
      <c r="B11" s="249"/>
      <c r="C11" s="248"/>
      <c r="D11" s="524"/>
      <c r="E11" s="524"/>
      <c r="F11" s="524"/>
      <c r="G11" s="249"/>
      <c r="H11" s="187">
        <f>IF(G11="",(MIN($D11:$F11))*C11,IF(G11="הצעה א",D11*C11,IF(G11="הצעה ב",E11*C11,F11*C11)))</f>
        <v>0</v>
      </c>
      <c r="I11" s="248"/>
      <c r="J11" s="185" t="str">
        <f t="shared" ref="J11:J30" si="0">IF(I11="","","יש להסביר חריגה")</f>
        <v/>
      </c>
      <c r="K11" s="94">
        <f>C11</f>
        <v>0</v>
      </c>
      <c r="L11" s="18"/>
      <c r="M11" s="94">
        <f t="shared" ref="M11:M30" si="1">IFERROR(IF(L11="מאושר",K11*H11/C11,K11*MIN(D11:G11)),0)</f>
        <v>0</v>
      </c>
      <c r="N11" s="18"/>
      <c r="O11" s="188"/>
      <c r="P11" s="188"/>
      <c r="Q11" s="188"/>
      <c r="R11" s="188"/>
      <c r="S11" s="188"/>
      <c r="T11" s="188"/>
      <c r="U11" s="188"/>
      <c r="V11" s="188"/>
      <c r="W11" s="188"/>
      <c r="X11" s="188"/>
      <c r="Y11" s="188"/>
    </row>
    <row r="12" spans="1:29" ht="15">
      <c r="B12" s="249"/>
      <c r="C12" s="248"/>
      <c r="D12" s="524"/>
      <c r="E12" s="524"/>
      <c r="F12" s="524"/>
      <c r="G12" s="249"/>
      <c r="H12" s="187">
        <f t="shared" ref="H12:H30" si="2">IF(G12="",(MIN($D12:$F12))*C12,IF(G12="הצעה א",D12*C12,IF(G12="הצעה ב",E12*C12,F12*C12)))</f>
        <v>0</v>
      </c>
      <c r="I12" s="248"/>
      <c r="J12" s="185" t="str">
        <f t="shared" si="0"/>
        <v/>
      </c>
      <c r="K12" s="94">
        <f t="shared" ref="K12:K30" si="3">C12</f>
        <v>0</v>
      </c>
      <c r="L12" s="18"/>
      <c r="M12" s="94">
        <f t="shared" si="1"/>
        <v>0</v>
      </c>
      <c r="N12" s="18"/>
      <c r="O12" s="188"/>
      <c r="P12" s="188"/>
      <c r="Q12" s="188"/>
      <c r="R12" s="188"/>
      <c r="S12" s="188"/>
      <c r="T12" s="188"/>
      <c r="U12" s="188"/>
      <c r="V12" s="188"/>
      <c r="W12" s="188"/>
      <c r="X12" s="188"/>
      <c r="Y12" s="188"/>
    </row>
    <row r="13" spans="1:29" ht="15">
      <c r="B13" s="249"/>
      <c r="C13" s="248"/>
      <c r="D13" s="524"/>
      <c r="E13" s="524"/>
      <c r="F13" s="524"/>
      <c r="G13" s="249"/>
      <c r="H13" s="187">
        <f t="shared" si="2"/>
        <v>0</v>
      </c>
      <c r="I13" s="248"/>
      <c r="J13" s="185" t="str">
        <f t="shared" si="0"/>
        <v/>
      </c>
      <c r="K13" s="94">
        <f t="shared" si="3"/>
        <v>0</v>
      </c>
      <c r="L13" s="18"/>
      <c r="M13" s="94">
        <f t="shared" si="1"/>
        <v>0</v>
      </c>
      <c r="N13" s="18"/>
      <c r="O13" s="188"/>
      <c r="P13" s="188"/>
      <c r="Q13" s="188"/>
      <c r="R13" s="188"/>
      <c r="S13" s="188"/>
      <c r="T13" s="188"/>
      <c r="U13" s="188"/>
      <c r="V13" s="188"/>
      <c r="W13" s="188"/>
      <c r="X13" s="188"/>
      <c r="Y13" s="188"/>
    </row>
    <row r="14" spans="1:29" ht="15">
      <c r="B14" s="249"/>
      <c r="C14" s="248"/>
      <c r="D14" s="524"/>
      <c r="E14" s="524"/>
      <c r="F14" s="524"/>
      <c r="G14" s="249"/>
      <c r="H14" s="187">
        <f t="shared" si="2"/>
        <v>0</v>
      </c>
      <c r="I14" s="248"/>
      <c r="J14" s="185" t="str">
        <f t="shared" si="0"/>
        <v/>
      </c>
      <c r="K14" s="94">
        <f t="shared" si="3"/>
        <v>0</v>
      </c>
      <c r="L14" s="18"/>
      <c r="M14" s="94">
        <f t="shared" si="1"/>
        <v>0</v>
      </c>
      <c r="N14" s="18"/>
      <c r="O14" s="188"/>
      <c r="P14" s="188"/>
      <c r="Q14" s="188"/>
      <c r="R14" s="188"/>
      <c r="S14" s="188"/>
      <c r="T14" s="188"/>
      <c r="U14" s="188"/>
      <c r="V14" s="188"/>
      <c r="W14" s="188"/>
      <c r="X14" s="188"/>
      <c r="Y14" s="188"/>
    </row>
    <row r="15" spans="1:29" ht="15">
      <c r="B15" s="249"/>
      <c r="C15" s="248"/>
      <c r="D15" s="524"/>
      <c r="E15" s="524"/>
      <c r="F15" s="524"/>
      <c r="G15" s="249"/>
      <c r="H15" s="187">
        <f t="shared" si="2"/>
        <v>0</v>
      </c>
      <c r="I15" s="248"/>
      <c r="J15" s="185" t="str">
        <f t="shared" si="0"/>
        <v/>
      </c>
      <c r="K15" s="94">
        <f t="shared" si="3"/>
        <v>0</v>
      </c>
      <c r="L15" s="18"/>
      <c r="M15" s="94">
        <f t="shared" si="1"/>
        <v>0</v>
      </c>
      <c r="N15" s="18"/>
      <c r="O15" s="188"/>
      <c r="P15" s="188"/>
      <c r="Q15" s="188"/>
      <c r="R15" s="188"/>
      <c r="S15" s="188"/>
      <c r="T15" s="188"/>
      <c r="U15" s="188"/>
      <c r="V15" s="188"/>
      <c r="W15" s="188"/>
      <c r="X15" s="188"/>
      <c r="Y15" s="188"/>
    </row>
    <row r="16" spans="1:29" ht="15">
      <c r="B16" s="249"/>
      <c r="C16" s="248"/>
      <c r="D16" s="524"/>
      <c r="E16" s="524"/>
      <c r="F16" s="524"/>
      <c r="G16" s="249"/>
      <c r="H16" s="187">
        <f t="shared" si="2"/>
        <v>0</v>
      </c>
      <c r="I16" s="248"/>
      <c r="J16" s="185" t="str">
        <f t="shared" si="0"/>
        <v/>
      </c>
      <c r="K16" s="94">
        <f t="shared" si="3"/>
        <v>0</v>
      </c>
      <c r="L16" s="18"/>
      <c r="M16" s="94">
        <f t="shared" si="1"/>
        <v>0</v>
      </c>
      <c r="N16" s="18"/>
      <c r="O16" s="188"/>
      <c r="P16" s="188"/>
      <c r="Q16" s="188"/>
      <c r="R16" s="188"/>
      <c r="S16" s="188"/>
      <c r="T16" s="188"/>
      <c r="U16" s="188"/>
      <c r="V16" s="188"/>
      <c r="W16" s="188"/>
      <c r="X16" s="188"/>
      <c r="Y16" s="188"/>
    </row>
    <row r="17" spans="2:27" ht="15">
      <c r="B17" s="249"/>
      <c r="C17" s="248"/>
      <c r="D17" s="524"/>
      <c r="E17" s="524"/>
      <c r="F17" s="524"/>
      <c r="G17" s="249"/>
      <c r="H17" s="187">
        <f t="shared" si="2"/>
        <v>0</v>
      </c>
      <c r="I17" s="248"/>
      <c r="J17" s="185" t="str">
        <f t="shared" si="0"/>
        <v/>
      </c>
      <c r="K17" s="94">
        <f t="shared" si="3"/>
        <v>0</v>
      </c>
      <c r="L17" s="18"/>
      <c r="M17" s="94">
        <f t="shared" si="1"/>
        <v>0</v>
      </c>
      <c r="N17" s="18"/>
      <c r="O17" s="188"/>
      <c r="P17" s="188"/>
      <c r="Q17" s="188"/>
      <c r="R17" s="188"/>
      <c r="S17" s="188"/>
      <c r="T17" s="188"/>
      <c r="U17" s="188"/>
      <c r="V17" s="188"/>
      <c r="W17" s="188"/>
      <c r="X17" s="188"/>
      <c r="Y17" s="188"/>
    </row>
    <row r="18" spans="2:27" ht="15">
      <c r="B18" s="249"/>
      <c r="C18" s="248"/>
      <c r="D18" s="524"/>
      <c r="E18" s="524"/>
      <c r="F18" s="524"/>
      <c r="G18" s="249"/>
      <c r="H18" s="187">
        <f t="shared" si="2"/>
        <v>0</v>
      </c>
      <c r="I18" s="248"/>
      <c r="J18" s="185" t="str">
        <f t="shared" si="0"/>
        <v/>
      </c>
      <c r="K18" s="94">
        <f t="shared" si="3"/>
        <v>0</v>
      </c>
      <c r="L18" s="18"/>
      <c r="M18" s="94">
        <f t="shared" si="1"/>
        <v>0</v>
      </c>
      <c r="N18" s="18"/>
      <c r="O18" s="188"/>
      <c r="P18" s="188"/>
      <c r="Q18" s="188"/>
      <c r="R18" s="188"/>
      <c r="S18" s="188"/>
      <c r="T18" s="188"/>
      <c r="U18" s="188"/>
      <c r="V18" s="188"/>
      <c r="W18" s="188"/>
      <c r="X18" s="188"/>
      <c r="Y18" s="188"/>
    </row>
    <row r="19" spans="2:27" ht="15">
      <c r="B19" s="249"/>
      <c r="C19" s="248"/>
      <c r="D19" s="524"/>
      <c r="E19" s="524"/>
      <c r="F19" s="524"/>
      <c r="G19" s="249"/>
      <c r="H19" s="187">
        <f t="shared" si="2"/>
        <v>0</v>
      </c>
      <c r="I19" s="248"/>
      <c r="J19" s="185" t="str">
        <f t="shared" si="0"/>
        <v/>
      </c>
      <c r="K19" s="94">
        <f t="shared" si="3"/>
        <v>0</v>
      </c>
      <c r="L19" s="18"/>
      <c r="M19" s="94">
        <f t="shared" si="1"/>
        <v>0</v>
      </c>
      <c r="N19" s="18"/>
      <c r="O19" s="188"/>
      <c r="P19" s="188"/>
      <c r="Q19" s="188"/>
      <c r="R19" s="188"/>
      <c r="S19" s="188"/>
      <c r="T19" s="188"/>
      <c r="U19" s="188"/>
      <c r="V19" s="188"/>
      <c r="W19" s="188"/>
      <c r="X19" s="188"/>
      <c r="Y19" s="188"/>
    </row>
    <row r="20" spans="2:27" ht="15">
      <c r="B20" s="249"/>
      <c r="C20" s="248"/>
      <c r="D20" s="524"/>
      <c r="E20" s="524"/>
      <c r="F20" s="524"/>
      <c r="G20" s="249"/>
      <c r="H20" s="187">
        <f t="shared" si="2"/>
        <v>0</v>
      </c>
      <c r="I20" s="248"/>
      <c r="J20" s="185" t="str">
        <f t="shared" si="0"/>
        <v/>
      </c>
      <c r="K20" s="94">
        <f t="shared" si="3"/>
        <v>0</v>
      </c>
      <c r="L20" s="18"/>
      <c r="M20" s="94">
        <f t="shared" si="1"/>
        <v>0</v>
      </c>
      <c r="N20" s="18"/>
      <c r="O20" s="188"/>
      <c r="P20" s="188"/>
      <c r="Q20" s="188"/>
      <c r="R20" s="188"/>
      <c r="S20" s="188"/>
      <c r="T20" s="188"/>
      <c r="U20" s="188"/>
      <c r="V20" s="188"/>
      <c r="W20" s="188"/>
      <c r="X20" s="188"/>
      <c r="Y20" s="188"/>
    </row>
    <row r="21" spans="2:27" ht="15">
      <c r="B21" s="249"/>
      <c r="C21" s="248"/>
      <c r="D21" s="524"/>
      <c r="E21" s="524"/>
      <c r="F21" s="524"/>
      <c r="G21" s="249"/>
      <c r="H21" s="187">
        <f t="shared" si="2"/>
        <v>0</v>
      </c>
      <c r="I21" s="248"/>
      <c r="J21" s="185" t="str">
        <f t="shared" si="0"/>
        <v/>
      </c>
      <c r="K21" s="94">
        <f t="shared" si="3"/>
        <v>0</v>
      </c>
      <c r="L21" s="18"/>
      <c r="M21" s="94">
        <f t="shared" si="1"/>
        <v>0</v>
      </c>
      <c r="N21" s="18"/>
      <c r="O21" s="188"/>
      <c r="P21" s="188"/>
      <c r="Q21" s="188"/>
      <c r="R21" s="188"/>
      <c r="S21" s="188"/>
      <c r="T21" s="188"/>
      <c r="U21" s="188"/>
      <c r="V21" s="188"/>
      <c r="W21" s="188"/>
      <c r="X21" s="188"/>
      <c r="Y21" s="188"/>
      <c r="Z21" s="188"/>
    </row>
    <row r="22" spans="2:27" ht="15">
      <c r="B22" s="249"/>
      <c r="C22" s="248"/>
      <c r="D22" s="524"/>
      <c r="E22" s="524"/>
      <c r="F22" s="524"/>
      <c r="G22" s="249"/>
      <c r="H22" s="187">
        <f t="shared" si="2"/>
        <v>0</v>
      </c>
      <c r="I22" s="248"/>
      <c r="J22" s="185" t="str">
        <f t="shared" si="0"/>
        <v/>
      </c>
      <c r="K22" s="94">
        <f t="shared" si="3"/>
        <v>0</v>
      </c>
      <c r="L22" s="18"/>
      <c r="M22" s="94">
        <f t="shared" si="1"/>
        <v>0</v>
      </c>
      <c r="N22" s="18"/>
      <c r="O22" s="188"/>
      <c r="P22" s="188"/>
      <c r="Q22" s="188"/>
      <c r="R22" s="188"/>
      <c r="S22" s="188"/>
      <c r="T22" s="188"/>
      <c r="U22" s="188"/>
      <c r="V22" s="188"/>
      <c r="W22" s="188"/>
      <c r="X22" s="188"/>
      <c r="Y22" s="188"/>
      <c r="Z22" s="188"/>
    </row>
    <row r="23" spans="2:27" ht="15">
      <c r="B23" s="249"/>
      <c r="C23" s="248"/>
      <c r="D23" s="524"/>
      <c r="E23" s="524"/>
      <c r="F23" s="524"/>
      <c r="G23" s="249"/>
      <c r="H23" s="187">
        <f t="shared" si="2"/>
        <v>0</v>
      </c>
      <c r="I23" s="248"/>
      <c r="J23" s="185" t="str">
        <f t="shared" si="0"/>
        <v/>
      </c>
      <c r="K23" s="94">
        <f t="shared" si="3"/>
        <v>0</v>
      </c>
      <c r="L23" s="18"/>
      <c r="M23" s="94">
        <f t="shared" si="1"/>
        <v>0</v>
      </c>
      <c r="N23" s="18"/>
      <c r="O23" s="188"/>
      <c r="P23" s="188"/>
      <c r="Q23" s="188"/>
      <c r="R23" s="188"/>
      <c r="S23" s="188"/>
      <c r="T23" s="188"/>
      <c r="U23" s="188"/>
      <c r="V23" s="188"/>
      <c r="W23" s="188"/>
      <c r="X23" s="188"/>
      <c r="Y23" s="188"/>
      <c r="Z23" s="188"/>
    </row>
    <row r="24" spans="2:27" ht="15">
      <c r="B24" s="249"/>
      <c r="C24" s="248"/>
      <c r="D24" s="524"/>
      <c r="E24" s="524"/>
      <c r="F24" s="524"/>
      <c r="G24" s="249"/>
      <c r="H24" s="187">
        <f t="shared" si="2"/>
        <v>0</v>
      </c>
      <c r="I24" s="248"/>
      <c r="J24" s="185" t="str">
        <f t="shared" si="0"/>
        <v/>
      </c>
      <c r="K24" s="94">
        <f t="shared" si="3"/>
        <v>0</v>
      </c>
      <c r="L24" s="18"/>
      <c r="M24" s="94">
        <f t="shared" si="1"/>
        <v>0</v>
      </c>
      <c r="N24" s="18"/>
      <c r="O24" s="188"/>
      <c r="P24" s="188"/>
      <c r="Q24" s="188"/>
      <c r="R24" s="188"/>
      <c r="S24" s="188"/>
      <c r="T24" s="188"/>
      <c r="U24" s="188"/>
      <c r="V24" s="188"/>
      <c r="W24" s="188"/>
      <c r="X24" s="188"/>
      <c r="Y24" s="188"/>
      <c r="Z24" s="188"/>
    </row>
    <row r="25" spans="2:27" ht="15">
      <c r="B25" s="249"/>
      <c r="C25" s="248"/>
      <c r="D25" s="524"/>
      <c r="E25" s="524"/>
      <c r="F25" s="524"/>
      <c r="G25" s="249"/>
      <c r="H25" s="187">
        <f t="shared" si="2"/>
        <v>0</v>
      </c>
      <c r="I25" s="248"/>
      <c r="J25" s="185" t="str">
        <f t="shared" si="0"/>
        <v/>
      </c>
      <c r="K25" s="94">
        <f t="shared" si="3"/>
        <v>0</v>
      </c>
      <c r="L25" s="18"/>
      <c r="M25" s="94">
        <f t="shared" si="1"/>
        <v>0</v>
      </c>
      <c r="N25" s="18"/>
      <c r="O25" s="188"/>
      <c r="P25" s="188"/>
      <c r="Q25" s="188"/>
      <c r="R25" s="188"/>
      <c r="S25" s="188"/>
      <c r="T25" s="188"/>
      <c r="U25" s="188"/>
      <c r="V25" s="188"/>
      <c r="W25" s="188"/>
      <c r="X25" s="188"/>
      <c r="Y25" s="188"/>
      <c r="Z25" s="188"/>
    </row>
    <row r="26" spans="2:27" ht="15">
      <c r="B26" s="249"/>
      <c r="C26" s="248"/>
      <c r="D26" s="524"/>
      <c r="E26" s="524"/>
      <c r="F26" s="524"/>
      <c r="G26" s="249"/>
      <c r="H26" s="187">
        <f t="shared" si="2"/>
        <v>0</v>
      </c>
      <c r="I26" s="248"/>
      <c r="J26" s="185" t="str">
        <f t="shared" si="0"/>
        <v/>
      </c>
      <c r="K26" s="94">
        <f t="shared" si="3"/>
        <v>0</v>
      </c>
      <c r="L26" s="18"/>
      <c r="M26" s="94">
        <f t="shared" si="1"/>
        <v>0</v>
      </c>
      <c r="N26" s="18"/>
      <c r="O26" s="188"/>
      <c r="P26" s="188"/>
      <c r="Q26" s="188"/>
      <c r="R26" s="188"/>
      <c r="S26" s="188"/>
      <c r="T26" s="188"/>
      <c r="U26" s="188"/>
      <c r="V26" s="188"/>
      <c r="W26" s="188"/>
      <c r="X26" s="188"/>
      <c r="Y26" s="188"/>
      <c r="Z26" s="188"/>
    </row>
    <row r="27" spans="2:27" ht="15">
      <c r="B27" s="249"/>
      <c r="C27" s="248"/>
      <c r="D27" s="524"/>
      <c r="E27" s="524"/>
      <c r="F27" s="524"/>
      <c r="G27" s="249"/>
      <c r="H27" s="187">
        <f t="shared" si="2"/>
        <v>0</v>
      </c>
      <c r="I27" s="248"/>
      <c r="J27" s="185" t="str">
        <f t="shared" si="0"/>
        <v/>
      </c>
      <c r="K27" s="94">
        <f t="shared" si="3"/>
        <v>0</v>
      </c>
      <c r="L27" s="18"/>
      <c r="M27" s="94">
        <f t="shared" si="1"/>
        <v>0</v>
      </c>
      <c r="N27" s="18"/>
      <c r="O27" s="188"/>
      <c r="P27" s="188"/>
      <c r="Q27" s="188"/>
      <c r="R27" s="188"/>
      <c r="S27" s="188"/>
      <c r="T27" s="188"/>
      <c r="U27" s="188"/>
      <c r="V27" s="188"/>
      <c r="W27" s="188"/>
      <c r="X27" s="188"/>
      <c r="Y27" s="188"/>
      <c r="Z27" s="188"/>
    </row>
    <row r="28" spans="2:27" ht="15">
      <c r="B28" s="249"/>
      <c r="C28" s="248"/>
      <c r="D28" s="524"/>
      <c r="E28" s="524"/>
      <c r="F28" s="524"/>
      <c r="G28" s="249"/>
      <c r="H28" s="187">
        <f t="shared" si="2"/>
        <v>0</v>
      </c>
      <c r="I28" s="248"/>
      <c r="J28" s="185" t="str">
        <f t="shared" si="0"/>
        <v/>
      </c>
      <c r="K28" s="94">
        <f t="shared" si="3"/>
        <v>0</v>
      </c>
      <c r="L28" s="18"/>
      <c r="M28" s="94">
        <f t="shared" si="1"/>
        <v>0</v>
      </c>
      <c r="N28" s="18"/>
      <c r="O28" s="188"/>
      <c r="P28" s="188"/>
      <c r="Q28" s="188"/>
      <c r="R28" s="188"/>
      <c r="S28" s="188"/>
      <c r="T28" s="188"/>
      <c r="U28" s="188"/>
      <c r="V28" s="188"/>
      <c r="W28" s="188"/>
      <c r="X28" s="188"/>
      <c r="Y28" s="188"/>
      <c r="Z28" s="188"/>
    </row>
    <row r="29" spans="2:27" ht="15">
      <c r="B29" s="249"/>
      <c r="C29" s="248"/>
      <c r="D29" s="524"/>
      <c r="E29" s="524"/>
      <c r="F29" s="524"/>
      <c r="G29" s="249"/>
      <c r="H29" s="187">
        <f t="shared" si="2"/>
        <v>0</v>
      </c>
      <c r="I29" s="248"/>
      <c r="J29" s="185" t="str">
        <f t="shared" si="0"/>
        <v/>
      </c>
      <c r="K29" s="94">
        <f t="shared" si="3"/>
        <v>0</v>
      </c>
      <c r="L29" s="18"/>
      <c r="M29" s="94">
        <f t="shared" si="1"/>
        <v>0</v>
      </c>
      <c r="N29" s="18"/>
      <c r="O29" s="188"/>
      <c r="P29" s="188"/>
      <c r="Q29" s="188"/>
      <c r="R29" s="188"/>
      <c r="S29" s="188"/>
      <c r="T29" s="188"/>
      <c r="U29" s="188"/>
      <c r="V29" s="188"/>
      <c r="W29" s="188"/>
      <c r="X29" s="188"/>
      <c r="Y29" s="188"/>
      <c r="Z29" s="188"/>
    </row>
    <row r="30" spans="2:27" ht="15">
      <c r="B30" s="249"/>
      <c r="C30" s="248"/>
      <c r="D30" s="524"/>
      <c r="E30" s="524"/>
      <c r="F30" s="524"/>
      <c r="G30" s="249"/>
      <c r="H30" s="187">
        <f t="shared" si="2"/>
        <v>0</v>
      </c>
      <c r="I30" s="342"/>
      <c r="J30" s="185" t="str">
        <f t="shared" si="0"/>
        <v/>
      </c>
      <c r="K30" s="94">
        <f t="shared" si="3"/>
        <v>0</v>
      </c>
      <c r="L30" s="18"/>
      <c r="M30" s="94">
        <f t="shared" si="1"/>
        <v>0</v>
      </c>
      <c r="N30" s="19"/>
      <c r="O30" s="188"/>
      <c r="P30" s="188"/>
      <c r="Q30" s="188"/>
      <c r="R30" s="188"/>
      <c r="S30" s="188"/>
      <c r="T30" s="188"/>
      <c r="U30" s="188"/>
      <c r="V30" s="188"/>
      <c r="W30" s="188"/>
      <c r="X30" s="188"/>
      <c r="Y30" s="188"/>
      <c r="Z30" s="188"/>
    </row>
    <row r="31" spans="2:27" ht="16.5" customHeight="1">
      <c r="B31" s="461"/>
      <c r="C31" s="461"/>
      <c r="D31" s="461"/>
      <c r="E31" s="461"/>
      <c r="F31" s="461"/>
      <c r="G31" s="462" t="s">
        <v>9</v>
      </c>
      <c r="H31" s="458">
        <f>SUM(H11:H30)</f>
        <v>0</v>
      </c>
      <c r="I31" s="459"/>
      <c r="J31" s="460"/>
      <c r="K31" s="638" t="s">
        <v>9</v>
      </c>
      <c r="L31" s="638"/>
      <c r="M31" s="458">
        <f>SUM(M11:M30)</f>
        <v>0</v>
      </c>
      <c r="N31" s="458"/>
      <c r="O31" s="188"/>
      <c r="P31" s="188"/>
      <c r="Q31" s="188"/>
      <c r="R31" s="188"/>
      <c r="S31" s="188"/>
      <c r="T31" s="188"/>
      <c r="U31" s="188"/>
      <c r="V31" s="188"/>
      <c r="W31" s="188"/>
      <c r="X31" s="188"/>
      <c r="Y31" s="188"/>
      <c r="Z31" s="188"/>
    </row>
    <row r="32" spans="2:27" ht="15">
      <c r="B32" s="189"/>
      <c r="C32" s="189"/>
      <c r="D32" s="189"/>
      <c r="E32" s="189"/>
      <c r="F32" s="189"/>
      <c r="G32" s="189"/>
      <c r="H32" s="189"/>
      <c r="I32" s="189"/>
      <c r="J32" s="189"/>
      <c r="K32" s="119"/>
      <c r="L32" s="119"/>
      <c r="M32" s="119"/>
      <c r="N32" s="119"/>
      <c r="O32" s="119"/>
      <c r="P32" s="184"/>
      <c r="Q32" s="184"/>
      <c r="R32" s="184"/>
      <c r="S32" s="184"/>
      <c r="T32" s="188"/>
      <c r="U32" s="188"/>
      <c r="V32" s="188"/>
      <c r="W32" s="188"/>
      <c r="X32" s="188"/>
      <c r="Y32" s="188"/>
      <c r="Z32" s="188"/>
      <c r="AA32" s="188"/>
    </row>
    <row r="33" spans="2:27" ht="15">
      <c r="B33" s="189"/>
      <c r="C33" s="189"/>
      <c r="D33" s="189"/>
      <c r="E33" s="189"/>
      <c r="F33" s="189"/>
      <c r="G33" s="189"/>
      <c r="H33" s="189"/>
      <c r="I33" s="189"/>
      <c r="J33" s="189"/>
      <c r="K33" s="189"/>
      <c r="L33" s="189"/>
      <c r="M33" s="119"/>
      <c r="N33" s="119"/>
      <c r="O33" s="189"/>
      <c r="P33" s="190"/>
      <c r="Q33" s="190"/>
      <c r="R33" s="190"/>
      <c r="S33" s="190"/>
      <c r="T33" s="188"/>
      <c r="U33" s="188"/>
      <c r="V33" s="188"/>
      <c r="W33" s="188"/>
      <c r="X33" s="188"/>
      <c r="Y33" s="188"/>
      <c r="Z33" s="188"/>
      <c r="AA33" s="188"/>
    </row>
    <row r="34" spans="2:27" ht="15">
      <c r="B34" s="189"/>
      <c r="C34" s="189"/>
      <c r="D34" s="189"/>
      <c r="E34" s="189"/>
      <c r="F34" s="189"/>
      <c r="G34" s="189"/>
      <c r="H34" s="189"/>
      <c r="I34" s="189"/>
      <c r="J34" s="189"/>
      <c r="K34" s="119"/>
      <c r="L34" s="119"/>
      <c r="M34" s="119"/>
      <c r="N34" s="119"/>
      <c r="O34" s="119"/>
      <c r="P34" s="184"/>
      <c r="Q34" s="184"/>
      <c r="R34" s="184"/>
      <c r="S34" s="184"/>
      <c r="T34" s="188"/>
      <c r="U34" s="188"/>
      <c r="V34" s="188"/>
      <c r="W34" s="188"/>
      <c r="X34" s="188"/>
      <c r="Y34" s="188"/>
      <c r="Z34" s="188"/>
      <c r="AA34" s="188"/>
    </row>
    <row r="35" spans="2:27" ht="15">
      <c r="B35" s="189"/>
      <c r="C35" s="189"/>
      <c r="D35" s="189"/>
      <c r="E35" s="189"/>
      <c r="F35" s="189"/>
      <c r="G35" s="189"/>
      <c r="H35" s="189"/>
      <c r="I35" s="189"/>
      <c r="J35" s="189"/>
      <c r="K35" s="119"/>
      <c r="L35" s="119"/>
      <c r="M35" s="119"/>
      <c r="N35" s="119"/>
      <c r="O35" s="119"/>
      <c r="P35" s="184"/>
      <c r="Q35" s="184"/>
      <c r="R35" s="184"/>
      <c r="S35" s="184"/>
      <c r="T35" s="188"/>
      <c r="U35" s="188"/>
      <c r="V35" s="188"/>
      <c r="W35" s="188"/>
      <c r="X35" s="188"/>
      <c r="Y35" s="188"/>
      <c r="Z35" s="188"/>
      <c r="AA35" s="188"/>
    </row>
    <row r="36" spans="2:27" ht="15">
      <c r="B36" s="189"/>
      <c r="C36" s="189"/>
      <c r="D36" s="189"/>
      <c r="E36" s="189"/>
      <c r="F36" s="189"/>
      <c r="G36" s="189"/>
      <c r="H36" s="189"/>
      <c r="I36" s="189"/>
      <c r="J36" s="189"/>
      <c r="K36" s="119"/>
      <c r="L36" s="119"/>
      <c r="M36" s="119"/>
      <c r="N36" s="119"/>
      <c r="O36" s="119"/>
      <c r="P36" s="184"/>
      <c r="Q36" s="184"/>
      <c r="R36" s="184"/>
      <c r="S36" s="184"/>
      <c r="T36" s="188"/>
      <c r="U36" s="188"/>
      <c r="V36" s="188"/>
      <c r="W36" s="188"/>
      <c r="X36" s="188"/>
      <c r="Y36" s="188"/>
      <c r="Z36" s="188"/>
      <c r="AA36" s="188"/>
    </row>
    <row r="37" spans="2:27" ht="15">
      <c r="B37" s="189"/>
      <c r="C37" s="189"/>
      <c r="D37" s="189"/>
      <c r="E37" s="189"/>
      <c r="F37" s="189"/>
      <c r="G37" s="189"/>
      <c r="H37" s="189"/>
      <c r="I37" s="189"/>
      <c r="J37" s="189"/>
      <c r="K37" s="119"/>
      <c r="L37" s="119"/>
      <c r="M37" s="119"/>
      <c r="N37" s="119"/>
      <c r="O37" s="119"/>
      <c r="P37" s="184"/>
      <c r="Q37" s="184"/>
      <c r="R37" s="184"/>
      <c r="S37" s="184"/>
      <c r="T37" s="188"/>
      <c r="U37" s="188"/>
      <c r="V37" s="188"/>
      <c r="W37" s="188"/>
      <c r="X37" s="188"/>
      <c r="Y37" s="188"/>
      <c r="Z37" s="188"/>
      <c r="AA37" s="188"/>
    </row>
    <row r="38" spans="2:27" ht="15">
      <c r="B38" s="189"/>
      <c r="C38" s="189"/>
      <c r="D38" s="189"/>
      <c r="E38" s="189"/>
      <c r="F38" s="189"/>
      <c r="G38" s="189"/>
      <c r="H38" s="189"/>
      <c r="I38" s="189"/>
      <c r="J38" s="189"/>
      <c r="K38" s="119"/>
      <c r="L38" s="119"/>
      <c r="M38" s="119"/>
      <c r="N38" s="119"/>
      <c r="O38" s="119"/>
      <c r="P38" s="184"/>
      <c r="Q38" s="184"/>
      <c r="R38" s="184"/>
      <c r="S38" s="184"/>
      <c r="T38" s="188"/>
      <c r="U38" s="188"/>
      <c r="V38" s="188"/>
      <c r="W38" s="188"/>
      <c r="X38" s="188"/>
      <c r="Y38" s="188"/>
      <c r="Z38" s="188"/>
      <c r="AA38" s="188"/>
    </row>
    <row r="39" spans="2:27" ht="15">
      <c r="B39" s="189"/>
      <c r="C39" s="189"/>
      <c r="D39" s="189"/>
      <c r="E39" s="189"/>
      <c r="F39" s="189"/>
      <c r="G39" s="189"/>
      <c r="H39" s="189"/>
      <c r="I39" s="189"/>
      <c r="J39" s="189"/>
      <c r="K39" s="119"/>
      <c r="L39" s="119"/>
      <c r="M39" s="119"/>
      <c r="N39" s="119"/>
      <c r="O39" s="119"/>
      <c r="P39" s="184"/>
      <c r="Q39" s="184"/>
      <c r="R39" s="184"/>
      <c r="S39" s="184"/>
      <c r="T39" s="184"/>
      <c r="U39" s="184"/>
      <c r="V39" s="184"/>
      <c r="W39" s="184"/>
      <c r="X39" s="184"/>
      <c r="Y39" s="184"/>
      <c r="Z39" s="184"/>
      <c r="AA39" s="184"/>
    </row>
    <row r="40" spans="2:27" ht="15">
      <c r="B40" s="189"/>
      <c r="C40" s="189"/>
      <c r="D40" s="189"/>
      <c r="E40" s="189"/>
      <c r="F40" s="189"/>
      <c r="G40" s="189"/>
      <c r="H40" s="189"/>
      <c r="I40" s="189"/>
      <c r="J40" s="189"/>
      <c r="K40" s="119"/>
      <c r="L40" s="119"/>
      <c r="M40" s="119"/>
      <c r="N40" s="119"/>
      <c r="O40" s="119"/>
      <c r="P40" s="184"/>
      <c r="Q40" s="184"/>
      <c r="R40" s="184"/>
      <c r="S40" s="184"/>
      <c r="T40" s="184"/>
      <c r="U40" s="184"/>
      <c r="V40" s="184"/>
      <c r="W40" s="184"/>
      <c r="X40" s="184"/>
      <c r="Y40" s="184"/>
      <c r="Z40" s="184"/>
      <c r="AA40" s="184"/>
    </row>
    <row r="41" spans="2:27" ht="15">
      <c r="B41" s="189"/>
      <c r="C41" s="189"/>
      <c r="D41" s="189"/>
      <c r="E41" s="189"/>
      <c r="F41" s="189"/>
      <c r="G41" s="189"/>
      <c r="H41" s="189"/>
      <c r="I41" s="189"/>
      <c r="J41" s="189"/>
      <c r="K41" s="119"/>
      <c r="L41" s="119"/>
      <c r="M41" s="119"/>
      <c r="N41" s="119"/>
      <c r="O41" s="119"/>
      <c r="P41" s="184"/>
      <c r="Q41" s="184"/>
      <c r="R41" s="184"/>
      <c r="S41" s="184"/>
      <c r="T41" s="184"/>
      <c r="U41" s="184"/>
      <c r="V41" s="184"/>
      <c r="W41" s="184"/>
      <c r="X41" s="184"/>
      <c r="Y41" s="184"/>
      <c r="Z41" s="184"/>
      <c r="AA41" s="184"/>
    </row>
    <row r="42" spans="2:27" ht="15">
      <c r="B42" s="189"/>
      <c r="C42" s="189"/>
      <c r="D42" s="189"/>
      <c r="E42" s="189"/>
      <c r="F42" s="189"/>
      <c r="G42" s="189"/>
      <c r="H42" s="189"/>
      <c r="I42" s="189"/>
      <c r="J42" s="189"/>
      <c r="K42" s="119"/>
      <c r="L42" s="119"/>
      <c r="M42" s="119"/>
      <c r="N42" s="119"/>
      <c r="O42" s="119"/>
      <c r="P42" s="184"/>
      <c r="Q42" s="184"/>
      <c r="R42" s="184"/>
      <c r="S42" s="184"/>
      <c r="T42" s="184"/>
      <c r="U42" s="184"/>
      <c r="V42" s="184"/>
      <c r="W42" s="184"/>
      <c r="X42" s="184"/>
      <c r="Y42" s="184"/>
      <c r="Z42" s="184"/>
      <c r="AA42" s="184"/>
    </row>
    <row r="43" spans="2:27" ht="15">
      <c r="B43" s="189"/>
      <c r="C43" s="189"/>
      <c r="D43" s="189"/>
      <c r="E43" s="189"/>
      <c r="F43" s="189"/>
      <c r="G43" s="189"/>
      <c r="H43" s="189"/>
      <c r="I43" s="189"/>
      <c r="J43" s="189"/>
      <c r="K43" s="119"/>
      <c r="L43" s="119"/>
      <c r="M43" s="119"/>
      <c r="N43" s="119"/>
      <c r="O43" s="119"/>
      <c r="P43" s="184"/>
      <c r="Q43" s="184"/>
      <c r="R43" s="184"/>
      <c r="S43" s="184"/>
      <c r="T43" s="184"/>
      <c r="U43" s="184"/>
      <c r="V43" s="184"/>
      <c r="W43" s="184"/>
      <c r="X43" s="184"/>
      <c r="Y43" s="184"/>
      <c r="Z43" s="184"/>
      <c r="AA43" s="184"/>
    </row>
    <row r="44" spans="2:27" ht="15">
      <c r="B44" s="189"/>
      <c r="C44" s="189"/>
      <c r="D44" s="189"/>
      <c r="E44" s="189"/>
      <c r="F44" s="189"/>
      <c r="G44" s="189"/>
      <c r="H44" s="189"/>
      <c r="I44" s="189"/>
      <c r="J44" s="189"/>
      <c r="K44" s="119"/>
      <c r="L44" s="119"/>
      <c r="M44" s="119"/>
      <c r="N44" s="119"/>
      <c r="O44" s="119"/>
      <c r="P44" s="184"/>
      <c r="Q44" s="184"/>
      <c r="R44" s="184"/>
      <c r="S44" s="184"/>
      <c r="T44" s="184"/>
      <c r="U44" s="184"/>
      <c r="V44" s="184"/>
      <c r="W44" s="184"/>
      <c r="X44" s="184"/>
      <c r="Y44" s="184"/>
      <c r="Z44" s="184"/>
      <c r="AA44" s="184"/>
    </row>
    <row r="45" spans="2:27" ht="15">
      <c r="B45" s="189"/>
      <c r="C45" s="189"/>
      <c r="D45" s="189"/>
      <c r="E45" s="189"/>
      <c r="F45" s="189"/>
      <c r="G45" s="189"/>
      <c r="H45" s="189"/>
      <c r="I45" s="189"/>
      <c r="J45" s="189"/>
      <c r="K45" s="119"/>
      <c r="L45" s="119"/>
      <c r="M45" s="119"/>
      <c r="N45" s="119"/>
      <c r="O45" s="119"/>
      <c r="P45" s="184"/>
      <c r="Q45" s="184"/>
      <c r="R45" s="184"/>
      <c r="S45" s="184"/>
      <c r="T45" s="184"/>
      <c r="U45" s="184"/>
      <c r="V45" s="184"/>
      <c r="W45" s="184"/>
      <c r="X45" s="184"/>
      <c r="Y45" s="184"/>
      <c r="Z45" s="184"/>
      <c r="AA45" s="184"/>
    </row>
    <row r="46" spans="2:27" ht="15">
      <c r="B46" s="189"/>
      <c r="C46" s="189"/>
      <c r="D46" s="189"/>
      <c r="E46" s="189"/>
      <c r="F46" s="189"/>
      <c r="G46" s="189"/>
      <c r="H46" s="189"/>
      <c r="I46" s="189"/>
      <c r="J46" s="189"/>
      <c r="K46" s="119"/>
      <c r="L46" s="119"/>
      <c r="M46" s="119"/>
      <c r="N46" s="119"/>
      <c r="O46" s="119"/>
      <c r="P46" s="184"/>
      <c r="Q46" s="184"/>
      <c r="R46" s="184"/>
      <c r="S46" s="184"/>
      <c r="T46" s="184"/>
      <c r="U46" s="184"/>
      <c r="V46" s="184"/>
      <c r="W46" s="184"/>
      <c r="X46" s="184"/>
      <c r="Y46" s="184"/>
      <c r="Z46" s="184"/>
      <c r="AA46" s="184"/>
    </row>
    <row r="47" spans="2:27" ht="15">
      <c r="B47" s="189"/>
      <c r="C47" s="189"/>
      <c r="D47" s="189"/>
      <c r="E47" s="189"/>
      <c r="F47" s="189"/>
      <c r="G47" s="189"/>
      <c r="H47" s="189"/>
      <c r="I47" s="189"/>
      <c r="J47" s="189"/>
      <c r="K47" s="119"/>
      <c r="L47" s="119"/>
      <c r="M47" s="119"/>
      <c r="N47" s="119"/>
      <c r="O47" s="119"/>
      <c r="P47" s="184"/>
      <c r="Q47" s="184"/>
      <c r="R47" s="184"/>
      <c r="S47" s="184"/>
      <c r="T47" s="184"/>
      <c r="U47" s="184"/>
      <c r="V47" s="184"/>
      <c r="W47" s="184"/>
      <c r="X47" s="184"/>
      <c r="Y47" s="184"/>
      <c r="Z47" s="184"/>
      <c r="AA47" s="184"/>
    </row>
    <row r="48" spans="2:27" ht="15">
      <c r="B48" s="189"/>
      <c r="C48" s="189"/>
      <c r="D48" s="189"/>
      <c r="E48" s="189"/>
      <c r="F48" s="189"/>
      <c r="G48" s="189"/>
      <c r="H48" s="189"/>
      <c r="I48" s="189"/>
      <c r="J48" s="189"/>
      <c r="K48" s="119"/>
      <c r="L48" s="119"/>
      <c r="M48" s="119"/>
      <c r="N48" s="119"/>
      <c r="O48" s="119"/>
      <c r="P48" s="184"/>
      <c r="Q48" s="184"/>
      <c r="R48" s="184"/>
      <c r="S48" s="184"/>
      <c r="T48" s="184"/>
      <c r="U48" s="184"/>
      <c r="V48" s="184"/>
      <c r="W48" s="184"/>
      <c r="X48" s="184"/>
      <c r="Y48" s="184"/>
      <c r="Z48" s="184"/>
      <c r="AA48" s="184"/>
    </row>
    <row r="49" spans="2:27" ht="15">
      <c r="B49" s="189"/>
      <c r="C49" s="189"/>
      <c r="D49" s="189"/>
      <c r="E49" s="189"/>
      <c r="F49" s="189"/>
      <c r="G49" s="189"/>
      <c r="H49" s="189"/>
      <c r="I49" s="189"/>
      <c r="J49" s="189"/>
      <c r="K49" s="119"/>
      <c r="L49" s="119"/>
      <c r="M49" s="119"/>
      <c r="N49" s="119"/>
      <c r="O49" s="119"/>
      <c r="P49" s="184"/>
      <c r="Q49" s="184"/>
      <c r="R49" s="184"/>
      <c r="S49" s="184"/>
      <c r="T49" s="184"/>
      <c r="U49" s="184"/>
      <c r="V49" s="184"/>
      <c r="W49" s="184"/>
      <c r="X49" s="184"/>
      <c r="Y49" s="184"/>
      <c r="Z49" s="184"/>
      <c r="AA49" s="184"/>
    </row>
    <row r="50" spans="2:27" ht="15">
      <c r="B50" s="189"/>
      <c r="C50" s="189"/>
      <c r="D50" s="189"/>
      <c r="E50" s="189"/>
      <c r="F50" s="189"/>
      <c r="G50" s="189"/>
      <c r="H50" s="189"/>
      <c r="I50" s="189"/>
      <c r="J50" s="189"/>
      <c r="K50" s="119"/>
      <c r="L50" s="119"/>
      <c r="M50" s="119"/>
      <c r="N50" s="119"/>
      <c r="O50" s="119"/>
      <c r="P50" s="184"/>
      <c r="Q50" s="184"/>
      <c r="R50" s="184"/>
      <c r="S50" s="184"/>
      <c r="T50" s="184"/>
      <c r="U50" s="184"/>
      <c r="V50" s="184"/>
      <c r="W50" s="184"/>
      <c r="X50" s="184"/>
      <c r="Y50" s="184"/>
      <c r="Z50" s="184"/>
      <c r="AA50" s="184"/>
    </row>
    <row r="51" spans="2:27" ht="15">
      <c r="B51" s="189"/>
      <c r="C51" s="189"/>
      <c r="D51" s="189"/>
      <c r="E51" s="189"/>
      <c r="F51" s="189"/>
      <c r="G51" s="189"/>
      <c r="H51" s="189"/>
      <c r="I51" s="189"/>
      <c r="J51" s="189"/>
      <c r="K51" s="119"/>
      <c r="L51" s="119"/>
      <c r="M51" s="119"/>
      <c r="N51" s="119"/>
      <c r="O51" s="119"/>
      <c r="P51" s="184"/>
      <c r="Q51" s="184"/>
      <c r="R51" s="184"/>
      <c r="S51" s="184"/>
      <c r="T51" s="184"/>
      <c r="U51" s="184"/>
      <c r="V51" s="184"/>
      <c r="W51" s="184"/>
      <c r="X51" s="184"/>
      <c r="Y51" s="184"/>
      <c r="Z51" s="184"/>
      <c r="AA51" s="184"/>
    </row>
    <row r="52" spans="2:27" ht="15">
      <c r="B52" s="189"/>
      <c r="C52" s="189"/>
      <c r="D52" s="189"/>
      <c r="E52" s="189"/>
      <c r="F52" s="189"/>
      <c r="G52" s="189"/>
      <c r="H52" s="189"/>
      <c r="I52" s="189"/>
      <c r="J52" s="189"/>
      <c r="K52" s="119"/>
      <c r="L52" s="119"/>
      <c r="M52" s="119"/>
      <c r="N52" s="119"/>
      <c r="O52" s="119"/>
      <c r="P52" s="184"/>
      <c r="Q52" s="184"/>
      <c r="R52" s="184"/>
      <c r="S52" s="184"/>
      <c r="T52" s="184"/>
      <c r="U52" s="184"/>
      <c r="V52" s="184"/>
      <c r="W52" s="184"/>
      <c r="X52" s="184"/>
      <c r="Y52" s="184"/>
      <c r="Z52" s="184"/>
      <c r="AA52" s="184"/>
    </row>
    <row r="53" spans="2:27" ht="15">
      <c r="B53" s="189"/>
      <c r="C53" s="189"/>
      <c r="D53" s="189"/>
      <c r="E53" s="189"/>
      <c r="F53" s="189"/>
      <c r="G53" s="189"/>
      <c r="H53" s="189"/>
      <c r="I53" s="189"/>
      <c r="J53" s="189"/>
      <c r="K53" s="119"/>
      <c r="L53" s="119"/>
      <c r="M53" s="119"/>
      <c r="N53" s="119"/>
      <c r="O53" s="119"/>
      <c r="P53" s="184"/>
      <c r="Q53" s="184"/>
      <c r="R53" s="184"/>
      <c r="S53" s="184"/>
      <c r="T53" s="184"/>
      <c r="U53" s="184"/>
      <c r="V53" s="184"/>
      <c r="W53" s="184"/>
      <c r="X53" s="184"/>
      <c r="Y53" s="184"/>
      <c r="Z53" s="184"/>
      <c r="AA53" s="184"/>
    </row>
    <row r="54" spans="2:27" ht="15">
      <c r="B54" s="189"/>
      <c r="C54" s="189"/>
      <c r="D54" s="189"/>
      <c r="E54" s="189"/>
      <c r="F54" s="189"/>
      <c r="G54" s="189"/>
      <c r="H54" s="189"/>
      <c r="I54" s="189"/>
      <c r="J54" s="189"/>
      <c r="K54" s="119"/>
      <c r="L54" s="119"/>
      <c r="M54" s="119"/>
      <c r="N54" s="119"/>
      <c r="O54" s="119"/>
      <c r="P54" s="184"/>
      <c r="Q54" s="184"/>
      <c r="R54" s="184"/>
      <c r="S54" s="184"/>
      <c r="T54" s="184"/>
      <c r="U54" s="184"/>
      <c r="V54" s="184"/>
      <c r="W54" s="184"/>
      <c r="X54" s="184"/>
      <c r="Y54" s="184"/>
      <c r="Z54" s="184"/>
      <c r="AA54" s="184"/>
    </row>
    <row r="55" spans="2:27" ht="15">
      <c r="B55" s="189"/>
      <c r="C55" s="189"/>
      <c r="D55" s="189"/>
      <c r="E55" s="189"/>
      <c r="F55" s="189"/>
      <c r="G55" s="189"/>
      <c r="H55" s="189"/>
      <c r="I55" s="189"/>
      <c r="J55" s="189"/>
      <c r="K55" s="119"/>
      <c r="L55" s="119"/>
      <c r="M55" s="119"/>
      <c r="N55" s="119"/>
      <c r="O55" s="119"/>
      <c r="P55" s="184"/>
      <c r="Q55" s="184"/>
      <c r="R55" s="184"/>
      <c r="S55" s="184"/>
      <c r="T55" s="184"/>
      <c r="U55" s="184"/>
      <c r="V55" s="184"/>
      <c r="W55" s="184"/>
      <c r="X55" s="184"/>
      <c r="Y55" s="184"/>
      <c r="Z55" s="184"/>
      <c r="AA55" s="184"/>
    </row>
    <row r="56" spans="2:27" ht="15">
      <c r="B56" s="189"/>
      <c r="C56" s="189"/>
      <c r="D56" s="189"/>
      <c r="E56" s="189"/>
      <c r="F56" s="189"/>
      <c r="G56" s="189"/>
      <c r="H56" s="189"/>
      <c r="I56" s="189"/>
      <c r="J56" s="189"/>
      <c r="K56" s="119"/>
      <c r="L56" s="119"/>
      <c r="M56" s="119"/>
      <c r="N56" s="119"/>
      <c r="O56" s="119"/>
      <c r="P56" s="184"/>
      <c r="Q56" s="184"/>
      <c r="R56" s="184"/>
      <c r="S56" s="184"/>
      <c r="T56" s="184"/>
      <c r="U56" s="184"/>
      <c r="V56" s="184"/>
      <c r="W56" s="184"/>
      <c r="X56" s="184"/>
      <c r="Y56" s="184"/>
      <c r="Z56" s="184"/>
      <c r="AA56" s="184"/>
    </row>
    <row r="57" spans="2:27" ht="15">
      <c r="B57" s="189"/>
      <c r="C57" s="189"/>
      <c r="D57" s="189"/>
      <c r="E57" s="189"/>
      <c r="F57" s="189"/>
      <c r="G57" s="189"/>
      <c r="H57" s="189"/>
      <c r="I57" s="189"/>
      <c r="J57" s="189"/>
      <c r="K57" s="119"/>
      <c r="L57" s="119"/>
      <c r="M57" s="119"/>
      <c r="N57" s="119"/>
      <c r="O57" s="119"/>
      <c r="P57" s="184"/>
      <c r="Q57" s="184"/>
      <c r="R57" s="184"/>
      <c r="S57" s="184"/>
      <c r="T57" s="184"/>
      <c r="U57" s="184"/>
      <c r="V57" s="184"/>
      <c r="W57" s="184"/>
      <c r="X57" s="184"/>
      <c r="Y57" s="184"/>
      <c r="Z57" s="184"/>
      <c r="AA57" s="184"/>
    </row>
    <row r="58" spans="2:27" ht="15">
      <c r="B58" s="189"/>
      <c r="C58" s="189"/>
      <c r="D58" s="189"/>
      <c r="E58" s="189"/>
      <c r="F58" s="189"/>
      <c r="G58" s="189"/>
      <c r="H58" s="189"/>
      <c r="I58" s="189"/>
      <c r="J58" s="189"/>
      <c r="K58" s="119"/>
      <c r="L58" s="119"/>
      <c r="M58" s="119"/>
      <c r="N58" s="119"/>
      <c r="O58" s="119"/>
      <c r="P58" s="184"/>
      <c r="Q58" s="184"/>
      <c r="R58" s="184"/>
      <c r="S58" s="184"/>
      <c r="T58" s="184"/>
      <c r="U58" s="184"/>
      <c r="V58" s="184"/>
      <c r="W58" s="184"/>
      <c r="X58" s="184"/>
      <c r="Y58" s="184"/>
      <c r="Z58" s="184"/>
      <c r="AA58" s="184"/>
    </row>
    <row r="59" spans="2:27" ht="15">
      <c r="B59" s="189"/>
      <c r="C59" s="189"/>
      <c r="D59" s="189"/>
      <c r="E59" s="189"/>
      <c r="F59" s="189"/>
      <c r="G59" s="189"/>
      <c r="H59" s="189"/>
      <c r="I59" s="189"/>
      <c r="J59" s="189"/>
      <c r="K59" s="119"/>
      <c r="L59" s="119"/>
      <c r="M59" s="119"/>
      <c r="N59" s="119"/>
      <c r="O59" s="119"/>
      <c r="P59" s="184"/>
      <c r="Q59" s="184"/>
      <c r="R59" s="184"/>
      <c r="S59" s="184"/>
      <c r="T59" s="184"/>
      <c r="U59" s="184"/>
      <c r="V59" s="184"/>
      <c r="W59" s="184"/>
      <c r="X59" s="184"/>
      <c r="Y59" s="184"/>
      <c r="Z59" s="184"/>
      <c r="AA59" s="184"/>
    </row>
    <row r="60" spans="2:27" ht="15">
      <c r="B60" s="189"/>
      <c r="C60" s="189"/>
      <c r="D60" s="189"/>
      <c r="E60" s="189"/>
      <c r="F60" s="189"/>
      <c r="G60" s="189"/>
      <c r="H60" s="189"/>
      <c r="I60" s="189"/>
      <c r="J60" s="189"/>
      <c r="K60" s="119"/>
      <c r="L60" s="119"/>
      <c r="M60" s="119"/>
      <c r="N60" s="119"/>
      <c r="O60" s="119"/>
      <c r="P60" s="184"/>
      <c r="Q60" s="184"/>
      <c r="R60" s="184"/>
      <c r="S60" s="184"/>
      <c r="T60" s="184"/>
      <c r="U60" s="184"/>
      <c r="V60" s="184"/>
      <c r="W60" s="184"/>
      <c r="X60" s="184"/>
      <c r="Y60" s="184"/>
      <c r="Z60" s="184"/>
      <c r="AA60" s="184"/>
    </row>
    <row r="61" spans="2:27" ht="15">
      <c r="B61" s="189"/>
      <c r="C61" s="189"/>
      <c r="D61" s="189"/>
      <c r="E61" s="189"/>
      <c r="F61" s="189"/>
      <c r="G61" s="189"/>
      <c r="H61" s="189"/>
      <c r="I61" s="189"/>
      <c r="J61" s="189"/>
      <c r="K61" s="119"/>
      <c r="L61" s="119"/>
      <c r="M61" s="119"/>
      <c r="N61" s="119"/>
      <c r="O61" s="119"/>
      <c r="P61" s="184"/>
      <c r="Q61" s="184"/>
      <c r="R61" s="184"/>
      <c r="S61" s="184"/>
      <c r="T61" s="184"/>
      <c r="U61" s="184"/>
      <c r="V61" s="184"/>
      <c r="W61" s="184"/>
      <c r="X61" s="184"/>
      <c r="Y61" s="184"/>
      <c r="Z61" s="184"/>
      <c r="AA61" s="184"/>
    </row>
    <row r="62" spans="2:27" ht="15">
      <c r="B62" s="189"/>
      <c r="C62" s="189"/>
      <c r="D62" s="189"/>
      <c r="E62" s="189"/>
      <c r="F62" s="189"/>
      <c r="G62" s="189"/>
      <c r="H62" s="189"/>
      <c r="I62" s="189"/>
      <c r="J62" s="189"/>
      <c r="K62" s="119"/>
      <c r="L62" s="119"/>
      <c r="M62" s="119"/>
      <c r="N62" s="119"/>
      <c r="O62" s="119"/>
      <c r="P62" s="184"/>
      <c r="Q62" s="184"/>
      <c r="R62" s="184"/>
      <c r="S62" s="184"/>
      <c r="T62" s="184"/>
      <c r="U62" s="184"/>
      <c r="V62" s="184"/>
      <c r="W62" s="184"/>
      <c r="X62" s="184"/>
      <c r="Y62" s="184"/>
      <c r="Z62" s="184"/>
      <c r="AA62" s="184"/>
    </row>
    <row r="63" spans="2:27" ht="15">
      <c r="B63" s="189"/>
      <c r="C63" s="189"/>
      <c r="D63" s="189"/>
      <c r="E63" s="189"/>
      <c r="F63" s="189"/>
      <c r="G63" s="189"/>
      <c r="H63" s="189"/>
      <c r="I63" s="189"/>
      <c r="J63" s="189"/>
      <c r="K63" s="119"/>
      <c r="L63" s="119"/>
      <c r="M63" s="119"/>
      <c r="N63" s="119"/>
      <c r="O63" s="119"/>
      <c r="P63" s="184"/>
      <c r="Q63" s="184"/>
      <c r="R63" s="184"/>
      <c r="S63" s="184"/>
      <c r="T63" s="184"/>
      <c r="U63" s="184"/>
      <c r="V63" s="184"/>
      <c r="W63" s="184"/>
      <c r="X63" s="184"/>
      <c r="Y63" s="184"/>
      <c r="Z63" s="184"/>
      <c r="AA63" s="184"/>
    </row>
    <row r="64" spans="2:27" ht="15">
      <c r="B64" s="189"/>
      <c r="C64" s="189"/>
      <c r="D64" s="189"/>
      <c r="E64" s="189"/>
      <c r="F64" s="189"/>
      <c r="G64" s="189"/>
      <c r="H64" s="189"/>
      <c r="I64" s="189"/>
      <c r="J64" s="189"/>
      <c r="K64" s="119"/>
      <c r="L64" s="119"/>
      <c r="M64" s="119"/>
      <c r="N64" s="119"/>
      <c r="O64" s="119"/>
      <c r="P64" s="184"/>
      <c r="Q64" s="184"/>
      <c r="R64" s="184"/>
      <c r="S64" s="184"/>
      <c r="T64" s="184"/>
      <c r="U64" s="184"/>
      <c r="V64" s="184"/>
      <c r="W64" s="184"/>
      <c r="X64" s="184"/>
      <c r="Y64" s="184"/>
      <c r="Z64" s="184"/>
      <c r="AA64" s="184"/>
    </row>
    <row r="65" spans="2:27" ht="15">
      <c r="B65" s="189"/>
      <c r="C65" s="189"/>
      <c r="D65" s="189"/>
      <c r="E65" s="189"/>
      <c r="F65" s="189"/>
      <c r="G65" s="189"/>
      <c r="H65" s="189"/>
      <c r="I65" s="189"/>
      <c r="J65" s="189"/>
      <c r="K65" s="119"/>
      <c r="L65" s="119"/>
      <c r="M65" s="119"/>
      <c r="N65" s="119"/>
      <c r="O65" s="119"/>
      <c r="P65" s="184"/>
      <c r="Q65" s="184"/>
      <c r="R65" s="184"/>
      <c r="S65" s="184"/>
      <c r="T65" s="184"/>
      <c r="U65" s="184"/>
      <c r="V65" s="184"/>
      <c r="W65" s="184"/>
      <c r="X65" s="184"/>
      <c r="Y65" s="184"/>
      <c r="Z65" s="184"/>
      <c r="AA65" s="184"/>
    </row>
    <row r="66" spans="2:27" ht="15">
      <c r="B66" s="189"/>
      <c r="C66" s="189"/>
      <c r="D66" s="189"/>
      <c r="E66" s="189"/>
      <c r="F66" s="189"/>
      <c r="G66" s="189"/>
      <c r="H66" s="189"/>
      <c r="I66" s="189"/>
      <c r="J66" s="189"/>
      <c r="K66" s="119"/>
      <c r="L66" s="119"/>
      <c r="M66" s="119"/>
      <c r="N66" s="119"/>
      <c r="O66" s="119"/>
      <c r="P66" s="184"/>
      <c r="Q66" s="184"/>
      <c r="R66" s="184"/>
      <c r="S66" s="184"/>
      <c r="T66" s="184"/>
      <c r="U66" s="184"/>
      <c r="V66" s="184"/>
      <c r="W66" s="184"/>
      <c r="X66" s="184"/>
      <c r="Y66" s="184"/>
      <c r="Z66" s="184"/>
      <c r="AA66" s="184"/>
    </row>
    <row r="67" spans="2:27" ht="15">
      <c r="B67" s="189"/>
      <c r="C67" s="189"/>
      <c r="D67" s="189"/>
      <c r="E67" s="189"/>
      <c r="F67" s="189"/>
      <c r="G67" s="189"/>
      <c r="H67" s="189"/>
      <c r="I67" s="189"/>
      <c r="J67" s="189"/>
      <c r="K67" s="119"/>
      <c r="L67" s="119"/>
      <c r="M67" s="119"/>
      <c r="N67" s="119"/>
      <c r="O67" s="119"/>
      <c r="P67" s="184"/>
      <c r="Q67" s="184"/>
      <c r="R67" s="184"/>
      <c r="S67" s="184"/>
      <c r="T67" s="184"/>
      <c r="U67" s="184"/>
      <c r="V67" s="184"/>
      <c r="W67" s="184"/>
      <c r="X67" s="184"/>
      <c r="Y67" s="184"/>
      <c r="Z67" s="184"/>
      <c r="AA67" s="184"/>
    </row>
    <row r="68" spans="2:27" ht="15">
      <c r="B68" s="189"/>
      <c r="C68" s="189"/>
      <c r="D68" s="189"/>
      <c r="E68" s="189"/>
      <c r="F68" s="189"/>
      <c r="G68" s="189"/>
      <c r="H68" s="189"/>
      <c r="I68" s="189"/>
      <c r="J68" s="189"/>
      <c r="K68" s="119"/>
      <c r="L68" s="119"/>
      <c r="M68" s="119"/>
      <c r="N68" s="119"/>
      <c r="O68" s="119"/>
      <c r="P68" s="184"/>
      <c r="Q68" s="184"/>
      <c r="R68" s="184"/>
      <c r="S68" s="184"/>
      <c r="T68" s="184"/>
      <c r="U68" s="184"/>
      <c r="V68" s="184"/>
      <c r="W68" s="184"/>
      <c r="X68" s="184"/>
      <c r="Y68" s="184"/>
      <c r="Z68" s="184"/>
      <c r="AA68" s="184"/>
    </row>
    <row r="69" spans="2:27" ht="15">
      <c r="B69" s="189"/>
      <c r="C69" s="189"/>
      <c r="D69" s="189"/>
      <c r="E69" s="189"/>
      <c r="F69" s="189"/>
      <c r="G69" s="189"/>
      <c r="H69" s="189"/>
      <c r="I69" s="189"/>
      <c r="J69" s="189"/>
      <c r="K69" s="119"/>
      <c r="L69" s="119"/>
      <c r="M69" s="119"/>
      <c r="N69" s="119"/>
      <c r="O69" s="119"/>
      <c r="P69" s="184"/>
      <c r="Q69" s="184"/>
      <c r="R69" s="184"/>
      <c r="S69" s="184"/>
      <c r="T69" s="184"/>
      <c r="U69" s="184"/>
      <c r="V69" s="184"/>
      <c r="W69" s="184"/>
      <c r="X69" s="184"/>
      <c r="Y69" s="184"/>
      <c r="Z69" s="184"/>
      <c r="AA69" s="184"/>
    </row>
    <row r="70" spans="2:27" ht="15">
      <c r="B70" s="189"/>
      <c r="C70" s="189"/>
      <c r="D70" s="189"/>
      <c r="E70" s="189"/>
      <c r="F70" s="189"/>
      <c r="G70" s="189"/>
      <c r="H70" s="189"/>
      <c r="I70" s="189"/>
      <c r="J70" s="189"/>
      <c r="K70" s="119"/>
      <c r="L70" s="119"/>
      <c r="M70" s="119"/>
      <c r="N70" s="119"/>
      <c r="O70" s="119"/>
      <c r="P70" s="184"/>
      <c r="Q70" s="184"/>
      <c r="R70" s="184"/>
      <c r="S70" s="184"/>
      <c r="T70" s="184"/>
      <c r="U70" s="184"/>
      <c r="V70" s="184"/>
      <c r="W70" s="184"/>
      <c r="X70" s="184"/>
      <c r="Y70" s="184"/>
      <c r="Z70" s="184"/>
      <c r="AA70" s="184"/>
    </row>
    <row r="71" spans="2:27" ht="15">
      <c r="B71" s="189"/>
      <c r="C71" s="189"/>
      <c r="D71" s="189"/>
      <c r="E71" s="189"/>
      <c r="F71" s="189"/>
      <c r="G71" s="189"/>
      <c r="H71" s="189"/>
      <c r="I71" s="189"/>
      <c r="J71" s="189"/>
      <c r="K71" s="119"/>
      <c r="L71" s="119"/>
      <c r="M71" s="119"/>
      <c r="N71" s="119"/>
      <c r="O71" s="119"/>
      <c r="P71" s="184"/>
      <c r="Q71" s="184"/>
      <c r="R71" s="184"/>
      <c r="S71" s="184"/>
      <c r="T71" s="184"/>
      <c r="U71" s="184"/>
      <c r="V71" s="184"/>
      <c r="W71" s="184"/>
      <c r="X71" s="184"/>
      <c r="Y71" s="184"/>
      <c r="Z71" s="184"/>
      <c r="AA71" s="184"/>
    </row>
    <row r="72" spans="2:27" ht="15">
      <c r="B72" s="189"/>
      <c r="C72" s="189"/>
      <c r="D72" s="189"/>
      <c r="E72" s="189"/>
      <c r="F72" s="189"/>
      <c r="G72" s="189"/>
      <c r="H72" s="189"/>
      <c r="I72" s="189"/>
      <c r="J72" s="189"/>
      <c r="K72" s="119"/>
      <c r="L72" s="119"/>
      <c r="M72" s="119"/>
      <c r="N72" s="119"/>
      <c r="O72" s="119"/>
      <c r="P72" s="184"/>
      <c r="Q72" s="184"/>
      <c r="R72" s="184"/>
      <c r="S72" s="184"/>
      <c r="T72" s="184"/>
      <c r="U72" s="184"/>
      <c r="V72" s="184"/>
      <c r="W72" s="184"/>
      <c r="X72" s="184"/>
      <c r="Y72" s="184"/>
      <c r="Z72" s="184"/>
      <c r="AA72" s="184"/>
    </row>
    <row r="73" spans="2:27" ht="15">
      <c r="B73" s="189"/>
      <c r="C73" s="189"/>
      <c r="D73" s="189"/>
      <c r="E73" s="189"/>
      <c r="F73" s="189"/>
      <c r="G73" s="189"/>
      <c r="H73" s="189"/>
      <c r="I73" s="189"/>
      <c r="J73" s="189"/>
      <c r="K73" s="119"/>
      <c r="L73" s="119"/>
      <c r="M73" s="119"/>
      <c r="N73" s="119"/>
      <c r="O73" s="119"/>
      <c r="P73" s="184"/>
      <c r="Q73" s="184"/>
      <c r="R73" s="184"/>
      <c r="S73" s="184"/>
      <c r="T73" s="184"/>
      <c r="U73" s="184"/>
      <c r="V73" s="184"/>
      <c r="W73" s="184"/>
      <c r="X73" s="184"/>
      <c r="Y73" s="184"/>
      <c r="Z73" s="184"/>
      <c r="AA73" s="184"/>
    </row>
  </sheetData>
  <sheetProtection algorithmName="SHA-512" hashValue="E4CTkeCOqbkhY26oewxQk4oQhXuUDOw9Zeaxbpr/ObAt9/OkZLqCggCDVMzpABByFHh8uqX+GzpTr8TXwu6NyQ==" saltValue="iT7ZWSWnYH7HNyPzpwPXYQ==" spinCount="100000" sheet="1" objects="1" scenarios="1"/>
  <mergeCells count="5">
    <mergeCell ref="B2:N2"/>
    <mergeCell ref="B3:N3"/>
    <mergeCell ref="K31:L31"/>
    <mergeCell ref="K9:N9"/>
    <mergeCell ref="B9:I9"/>
  </mergeCells>
  <dataValidations count="2">
    <dataValidation type="list" allowBlank="1" showInputMessage="1" showErrorMessage="1" sqref="G11:G30" xr:uid="{00000000-0002-0000-0C00-000000000000}">
      <formula1>"הצעה א, הצעה ב, הצעה ג"</formula1>
    </dataValidation>
    <dataValidation type="list" allowBlank="1" showInputMessage="1" showErrorMessage="1" sqref="L11:L30" xr:uid="{00000000-0002-0000-0C00-000001000000}">
      <formula1>"מאושר, לא מאושר"</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BFE76-D76B-4635-BA0F-94DCA3978830}">
  <dimension ref="A1:E62"/>
  <sheetViews>
    <sheetView rightToLeft="1" workbookViewId="0">
      <selection activeCell="D3" sqref="D3"/>
    </sheetView>
  </sheetViews>
  <sheetFormatPr defaultRowHeight="15"/>
  <cols>
    <col min="1" max="1" width="2.875" style="472" customWidth="1"/>
    <col min="2" max="2" width="35.875" style="473" bestFit="1" customWidth="1"/>
    <col min="3" max="3" width="34.25" style="473" customWidth="1"/>
    <col min="4" max="4" width="18.25" style="474" customWidth="1"/>
    <col min="5" max="5" width="13.625" style="474" customWidth="1"/>
  </cols>
  <sheetData>
    <row r="1" spans="2:5">
      <c r="D1" s="473"/>
    </row>
    <row r="2" spans="2:5" ht="23.25" customHeight="1">
      <c r="C2" s="475" t="s">
        <v>338</v>
      </c>
      <c r="D2" s="507" t="str">
        <f>IF(שאלון!C22=0,"",שאלון!C22)</f>
        <v/>
      </c>
    </row>
    <row r="3" spans="2:5" ht="22.5" customHeight="1">
      <c r="C3" s="477" t="s">
        <v>155</v>
      </c>
      <c r="D3" s="507" t="str">
        <f>IF(שאלון!C23=0,"",שאלון!C23)</f>
        <v/>
      </c>
    </row>
    <row r="4" spans="2:5" ht="25.5" customHeight="1">
      <c r="C4" s="478" t="s">
        <v>151</v>
      </c>
      <c r="D4" s="515" t="str">
        <f>IF(שאלון!C24=0,"",שאלון!C24)</f>
        <v/>
      </c>
      <c r="E4"/>
    </row>
    <row r="5" spans="2:5" ht="15.75" thickBot="1">
      <c r="D5" s="479"/>
      <c r="E5"/>
    </row>
    <row r="6" spans="2:5" ht="18.75" thickBot="1">
      <c r="B6" s="641" t="s">
        <v>454</v>
      </c>
      <c r="C6" s="642"/>
      <c r="D6" s="479"/>
      <c r="E6"/>
    </row>
    <row r="7" spans="2:5" ht="18">
      <c r="B7" s="480"/>
      <c r="D7" s="481"/>
      <c r="E7" s="482"/>
    </row>
    <row r="8" spans="2:5" ht="18">
      <c r="B8" s="483" t="str">
        <f>שאלון!B5</f>
        <v>תאריך הגשת הבקשה:</v>
      </c>
      <c r="C8" s="484" t="str">
        <f>IF(שאלון!C5=0,"",שאלון!C5)</f>
        <v/>
      </c>
      <c r="D8" s="485"/>
      <c r="E8" s="486"/>
    </row>
    <row r="9" spans="2:5" ht="18">
      <c r="B9" s="483" t="str">
        <f>שאלון!B7</f>
        <v>שם הארגון המבקש:</v>
      </c>
      <c r="C9" s="476" t="str">
        <f>IF(שאלון!C7=0,"",שאלון!C7)</f>
        <v/>
      </c>
      <c r="D9" s="485"/>
      <c r="E9" s="486"/>
    </row>
    <row r="10" spans="2:5" ht="18">
      <c r="B10" s="483" t="str">
        <f>שאלון!B8</f>
        <v>ח"פ/ע"ר של הארגון המבקש:</v>
      </c>
      <c r="C10" s="476" t="str">
        <f>IF(שאלון!C8=0,"",שאלון!C8)</f>
        <v/>
      </c>
      <c r="D10" s="485"/>
      <c r="E10" s="486"/>
    </row>
    <row r="11" spans="2:5" ht="18">
      <c r="B11" s="483" t="str">
        <f>שאלון!B10</f>
        <v>שם מרכז היום:</v>
      </c>
      <c r="C11" s="476" t="str">
        <f>IF(שאלון!C10=0,"",שאלון!C10)</f>
        <v/>
      </c>
      <c r="D11" s="485"/>
      <c r="E11" s="486"/>
    </row>
    <row r="12" spans="2:5" ht="18">
      <c r="B12" s="483" t="str">
        <f>שאלון!B11</f>
        <v>כתובת מרכז היום:</v>
      </c>
      <c r="C12" s="476" t="str">
        <f>IF(שאלון!C11=0,"",שאלון!C11)</f>
        <v/>
      </c>
      <c r="D12" s="485"/>
      <c r="E12" s="486"/>
    </row>
    <row r="13" spans="2:5" ht="18">
      <c r="B13" s="487" t="str">
        <f>שאלון!B17</f>
        <v>שם איש קשר:</v>
      </c>
      <c r="C13" s="476" t="str">
        <f>IF(שאלון!C17=0,"",שאלון!C17)</f>
        <v/>
      </c>
      <c r="D13" s="485"/>
      <c r="E13" s="486"/>
    </row>
    <row r="14" spans="2:5" ht="18">
      <c r="B14" s="487" t="str">
        <f>שאלון!B18</f>
        <v>תפקיד:</v>
      </c>
      <c r="C14" s="476" t="str">
        <f>IF(שאלון!C18=0,"",שאלון!C18)</f>
        <v/>
      </c>
      <c r="D14" s="485"/>
      <c r="E14" s="486"/>
    </row>
    <row r="15" spans="2:5" ht="18">
      <c r="B15" s="487" t="str">
        <f>שאלון!B19</f>
        <v>אימייל איש קשר:</v>
      </c>
      <c r="C15" s="476" t="str">
        <f>IF(שאלון!C19=0,"",שאלון!C19)</f>
        <v/>
      </c>
      <c r="D15" s="485"/>
      <c r="E15" s="486"/>
    </row>
    <row r="16" spans="2:5" ht="18">
      <c r="B16" s="487" t="str">
        <f>שאלון!B20</f>
        <v>טלפון איש קשר:</v>
      </c>
      <c r="C16" s="476" t="str">
        <f>IF(שאלון!C20=0,"",שאלון!C20)</f>
        <v/>
      </c>
      <c r="D16" s="485"/>
      <c r="E16" s="486"/>
    </row>
    <row r="17" spans="1:5" ht="15.75">
      <c r="B17" s="488"/>
      <c r="C17" s="489"/>
      <c r="D17" s="490"/>
      <c r="E17" s="482"/>
    </row>
    <row r="18" spans="1:5" ht="18">
      <c r="B18" s="491" t="s">
        <v>363</v>
      </c>
      <c r="C18" s="492" t="str">
        <f>IF(שאלון!C15=0,"",שאלון!C15)</f>
        <v/>
      </c>
      <c r="D18" s="490"/>
      <c r="E18" s="482"/>
    </row>
    <row r="19" spans="1:5" ht="15.75">
      <c r="D19" s="490"/>
      <c r="E19" s="482"/>
    </row>
    <row r="20" spans="1:5" ht="18" customHeight="1">
      <c r="B20" s="475" t="s">
        <v>192</v>
      </c>
      <c r="C20" s="493" t="s">
        <v>335</v>
      </c>
      <c r="D20" s="480"/>
      <c r="E20" s="482"/>
    </row>
    <row r="21" spans="1:5" ht="18">
      <c r="B21" s="475" t="s">
        <v>299</v>
      </c>
      <c r="C21" s="513">
        <f>SUMIF('ציוד כללי'!B:B,"אביזרים",'ציוד כללי'!O:O)</f>
        <v>0</v>
      </c>
      <c r="D21" s="485"/>
      <c r="E21" s="482"/>
    </row>
    <row r="22" spans="1:5" ht="18">
      <c r="B22" s="475" t="s">
        <v>91</v>
      </c>
      <c r="C22" s="513">
        <f>SUMIF('ציוד כללי'!B:B,"טיפוח חן",'ציוד כללי'!O:O)</f>
        <v>0</v>
      </c>
      <c r="D22" s="485"/>
      <c r="E22" s="482"/>
    </row>
    <row r="23" spans="1:5" ht="18">
      <c r="B23" s="475" t="s">
        <v>28</v>
      </c>
      <c r="C23" s="513">
        <f>SUMIF('ציוד כללי'!B:B,"כלי חשמל",'ציוד כללי'!O:O)</f>
        <v>0</v>
      </c>
      <c r="D23" s="485"/>
      <c r="E23" s="482"/>
    </row>
    <row r="24" spans="1:5" ht="18">
      <c r="B24" s="475" t="s">
        <v>24</v>
      </c>
      <c r="C24" s="513">
        <f>SUMIF('ציוד כללי'!B:B,"כללי",'ציוד כללי'!O:O)</f>
        <v>0</v>
      </c>
      <c r="D24" s="485"/>
      <c r="E24" s="482"/>
    </row>
    <row r="25" spans="1:5" ht="18">
      <c r="B25" s="475" t="s">
        <v>0</v>
      </c>
      <c r="C25" s="513">
        <f>SUMIF('ציוד כללי'!B:B,"חדר אוכל",'ציוד כללי'!O:O)</f>
        <v>0</v>
      </c>
      <c r="D25" s="485"/>
      <c r="E25" s="482"/>
    </row>
    <row r="26" spans="1:5" ht="18">
      <c r="B26" s="475" t="s">
        <v>17</v>
      </c>
      <c r="C26" s="513">
        <f>SUMIF('ציוד כללי'!B:B,"מיחשוב",'ציוד כללי'!O:O)</f>
        <v>0</v>
      </c>
      <c r="D26" s="485"/>
      <c r="E26" s="482"/>
    </row>
    <row r="27" spans="1:5" ht="18">
      <c r="B27" s="475" t="s">
        <v>27</v>
      </c>
      <c r="C27" s="513">
        <f>SUMIF('ציוד כללי'!B:B,"ציוד אלקטרוני",'ציוד כללי'!O:O)</f>
        <v>0</v>
      </c>
      <c r="D27" s="485"/>
      <c r="E27" s="482"/>
    </row>
    <row r="28" spans="1:5" ht="18">
      <c r="B28" s="475" t="s">
        <v>16</v>
      </c>
      <c r="C28" s="513">
        <f>SUMIF('ציוד כללי'!B:B,"ריהוט",'ציוד כללי'!O:O)</f>
        <v>0</v>
      </c>
      <c r="D28" s="485"/>
      <c r="E28" s="482"/>
    </row>
    <row r="29" spans="1:5" ht="18">
      <c r="B29" s="491" t="s">
        <v>459</v>
      </c>
      <c r="C29" s="514">
        <f>SUM(C21:D28)</f>
        <v>0</v>
      </c>
      <c r="D29" s="485"/>
      <c r="E29" s="482"/>
    </row>
    <row r="30" spans="1:5" ht="18">
      <c r="A30"/>
      <c r="B30" s="494"/>
      <c r="C30" s="475"/>
      <c r="D30" s="479"/>
      <c r="E30"/>
    </row>
    <row r="31" spans="1:5" ht="18">
      <c r="B31" s="475" t="s">
        <v>362</v>
      </c>
      <c r="C31" s="513" t="str">
        <f>IF('הנגשת ראייה'!N14=0,"",'הנגשת ראייה'!N14)</f>
        <v/>
      </c>
      <c r="D31" s="485"/>
    </row>
    <row r="32" spans="1:5" ht="18">
      <c r="B32" s="475" t="s">
        <v>26</v>
      </c>
      <c r="C32" s="513" t="str">
        <f>IF('הנגשת שמע'!O25=0,"",'הנגשת שמע'!O25)</f>
        <v/>
      </c>
      <c r="D32" s="485"/>
    </row>
    <row r="33" spans="1:5" ht="18">
      <c r="B33" s="475" t="s">
        <v>90</v>
      </c>
      <c r="C33" s="513" t="str">
        <f>IF('ריפוי בעיסוק ופיזיותרפיה'!M87=0,"",'ריפוי בעיסוק ופיזיותרפיה'!M87)</f>
        <v/>
      </c>
      <c r="D33" s="485"/>
    </row>
    <row r="34" spans="1:5" ht="18">
      <c r="B34" s="475" t="s">
        <v>156</v>
      </c>
      <c r="C34" s="513" t="str">
        <f>IF('מרחב חושי'!M30=0,"",'מרחב חושי'!M30)</f>
        <v/>
      </c>
      <c r="D34" s="485"/>
    </row>
    <row r="35" spans="1:5" ht="18">
      <c r="B35" s="475" t="s">
        <v>157</v>
      </c>
      <c r="C35" s="513" t="str">
        <f>IF('גינון טיפולי וחממה'!M53=0,"",'גינון טיפולי וחממה'!M53)</f>
        <v/>
      </c>
      <c r="D35" s="485"/>
    </row>
    <row r="36" spans="1:5" ht="18">
      <c r="B36" s="475" t="s">
        <v>30</v>
      </c>
      <c r="C36" s="513" t="str">
        <f>IF(חוגים!M21=0,"",חוגים!M21)</f>
        <v/>
      </c>
      <c r="D36" s="485"/>
    </row>
    <row r="37" spans="1:5" ht="18">
      <c r="B37" s="475" t="s">
        <v>20</v>
      </c>
      <c r="C37" s="513" t="str">
        <f>IF('עם הפנים לקהילה'!M14=0,"",'עם הפנים לקהילה'!M14)</f>
        <v/>
      </c>
      <c r="D37" s="485"/>
    </row>
    <row r="38" spans="1:5" ht="18">
      <c r="B38" s="475" t="s">
        <v>158</v>
      </c>
      <c r="C38" s="513" t="str">
        <f>IF('פנאי וטכנולוגיה מסייעת'!M22=0,"",'פנאי וטכנולוגיה מסייעת'!M22)</f>
        <v/>
      </c>
      <c r="D38" s="485"/>
    </row>
    <row r="39" spans="1:5" ht="18">
      <c r="B39" s="475" t="s">
        <v>194</v>
      </c>
      <c r="C39" s="513" t="str">
        <f>IF('ציוד ייעודי'!M31=0,"",'ציוד ייעודי'!M31)</f>
        <v/>
      </c>
      <c r="D39" s="485"/>
    </row>
    <row r="40" spans="1:5" ht="18">
      <c r="B40" s="491" t="s">
        <v>193</v>
      </c>
      <c r="C40" s="514">
        <f>SUM(C31:D39)</f>
        <v>0</v>
      </c>
      <c r="D40" s="485"/>
    </row>
    <row r="41" spans="1:5" ht="18">
      <c r="B41" s="488"/>
      <c r="C41" s="475"/>
      <c r="D41" s="473"/>
    </row>
    <row r="42" spans="1:5" ht="18">
      <c r="B42" s="491" t="s">
        <v>300</v>
      </c>
      <c r="C42" s="514">
        <f>C29+C40</f>
        <v>0</v>
      </c>
      <c r="D42" s="485"/>
    </row>
    <row r="43" spans="1:5" ht="18">
      <c r="B43" s="480"/>
      <c r="C43" s="485"/>
      <c r="D43" s="485"/>
    </row>
    <row r="44" spans="1:5" ht="18">
      <c r="B44" s="480"/>
      <c r="C44" s="485"/>
      <c r="D44" s="485"/>
    </row>
    <row r="45" spans="1:5" s="216" customFormat="1" ht="18">
      <c r="A45" s="474"/>
      <c r="B45" s="643" t="s">
        <v>152</v>
      </c>
      <c r="C45" s="643"/>
      <c r="D45" s="643"/>
      <c r="E45" s="474"/>
    </row>
    <row r="46" spans="1:5" s="216" customFormat="1" ht="18.75" customHeight="1">
      <c r="A46" s="474"/>
      <c r="B46" s="644"/>
      <c r="C46" s="644"/>
      <c r="D46" s="644"/>
      <c r="E46" s="474"/>
    </row>
    <row r="47" spans="1:5" s="498" customFormat="1" ht="18">
      <c r="A47" s="495"/>
      <c r="B47" s="496" t="s">
        <v>337</v>
      </c>
      <c r="C47" s="493" t="s">
        <v>153</v>
      </c>
      <c r="D47" s="466" t="s">
        <v>154</v>
      </c>
      <c r="E47" s="497"/>
    </row>
    <row r="48" spans="1:5" s="498" customFormat="1" ht="18">
      <c r="A48" s="495"/>
      <c r="B48" s="475" t="s">
        <v>336</v>
      </c>
      <c r="C48" s="467" t="str">
        <f>IF(D48=0,"",ROUNDUP(D48/$C42,4))</f>
        <v/>
      </c>
      <c r="D48" s="468">
        <f>MIN(D54,D60)</f>
        <v>0</v>
      </c>
      <c r="E48" s="497"/>
    </row>
    <row r="49" spans="1:5" s="498" customFormat="1" ht="18">
      <c r="A49" s="495"/>
      <c r="B49" s="499" t="s">
        <v>448</v>
      </c>
      <c r="C49" s="467" t="str">
        <f>IF(D49=0,"",ROUNDDOWN(D49/$C42,4))</f>
        <v/>
      </c>
      <c r="D49" s="468">
        <f>C42-D48</f>
        <v>0</v>
      </c>
      <c r="E49" s="497"/>
    </row>
    <row r="50" spans="1:5">
      <c r="D50" s="473"/>
    </row>
    <row r="51" spans="1:5" ht="15.75" hidden="1">
      <c r="B51" s="645" t="s">
        <v>424</v>
      </c>
      <c r="C51" s="645"/>
      <c r="D51" s="645"/>
    </row>
    <row r="52" spans="1:5" s="500" customFormat="1" hidden="1">
      <c r="B52" s="501" t="s">
        <v>376</v>
      </c>
      <c r="C52" s="502"/>
      <c r="D52" s="502"/>
    </row>
    <row r="53" spans="1:5" s="500" customFormat="1" hidden="1">
      <c r="B53" s="503" t="s">
        <v>377</v>
      </c>
      <c r="C53" s="503" t="s">
        <v>153</v>
      </c>
      <c r="D53" s="343" t="s">
        <v>154</v>
      </c>
    </row>
    <row r="54" spans="1:5" s="500" customFormat="1" hidden="1">
      <c r="B54" s="504" t="s">
        <v>378</v>
      </c>
      <c r="C54" s="334">
        <f>IF(D3="כן",90%,IF(D2&lt;=4,90%,IF(D2&lt;8,80%,70%)))</f>
        <v>0.7</v>
      </c>
      <c r="D54" s="344">
        <f>$C$42*C54</f>
        <v>0</v>
      </c>
    </row>
    <row r="55" spans="1:5" s="500" customFormat="1" hidden="1">
      <c r="B55" s="503" t="s">
        <v>379</v>
      </c>
      <c r="C55" s="505">
        <f>100%-C54</f>
        <v>0.30000000000000004</v>
      </c>
      <c r="D55" s="344">
        <f>$C$42*C55</f>
        <v>0</v>
      </c>
    </row>
    <row r="56" spans="1:5" s="500" customFormat="1" hidden="1">
      <c r="B56" s="503" t="s">
        <v>9</v>
      </c>
      <c r="C56" s="505">
        <f>SUM(C54:C55)</f>
        <v>1</v>
      </c>
      <c r="D56" s="344">
        <f>SUM(D54:D55)</f>
        <v>0</v>
      </c>
    </row>
    <row r="57" spans="1:5" s="500" customFormat="1" hidden="1">
      <c r="B57" s="502"/>
      <c r="C57" s="502"/>
      <c r="D57" s="506"/>
    </row>
    <row r="58" spans="1:5" s="500" customFormat="1" hidden="1">
      <c r="B58" s="501" t="s">
        <v>380</v>
      </c>
      <c r="C58" s="502"/>
      <c r="D58" s="506"/>
    </row>
    <row r="59" spans="1:5" s="500" customFormat="1" hidden="1">
      <c r="B59" s="503" t="s">
        <v>377</v>
      </c>
      <c r="C59" s="503" t="s">
        <v>153</v>
      </c>
      <c r="D59" s="344" t="s">
        <v>154</v>
      </c>
    </row>
    <row r="60" spans="1:5" s="500" customFormat="1" hidden="1">
      <c r="B60" s="504" t="s">
        <v>381</v>
      </c>
      <c r="C60" s="505" t="str">
        <f>IF($D$60=0,"",IF($D$54&lt;$D$60,"",ROUNDUP(D60/C$42,4)))</f>
        <v/>
      </c>
      <c r="D60" s="344" t="str">
        <f>D4</f>
        <v/>
      </c>
    </row>
    <row r="61" spans="1:5" s="500" customFormat="1" hidden="1">
      <c r="B61" s="503" t="s">
        <v>379</v>
      </c>
      <c r="C61" s="505" t="str">
        <f>IF($D$60=0,"",IF($D$54&lt;$D$60,"",ROUNDUP(D61/C$42,4)))</f>
        <v/>
      </c>
      <c r="D61" s="344" t="str">
        <f>IF($D$54&lt;$D$60,"",(D62-D60))</f>
        <v/>
      </c>
    </row>
    <row r="62" spans="1:5" s="500" customFormat="1" hidden="1">
      <c r="B62" s="503" t="s">
        <v>9</v>
      </c>
      <c r="C62" s="505">
        <f>IF($D$24&lt;$D$30,"",SUM(C60:C61))</f>
        <v>0</v>
      </c>
      <c r="D62" s="344" t="str">
        <f>IF($D$54&lt;$D$60,"",C42)</f>
        <v/>
      </c>
    </row>
  </sheetData>
  <sheetProtection algorithmName="SHA-512" hashValue="z8K/nB5TUB2j+cA2+dGJhn+2IJwhxg8jbktByHM7+J/SVB4gM9CMT35iUnavF66R6lwLlJunFlPwL5CHMzDUgA==" saltValue="c1z88rQG1vGN6vrgUakpRQ==" spinCount="100000" sheet="1" objects="1" scenarios="1"/>
  <mergeCells count="4">
    <mergeCell ref="B6:C6"/>
    <mergeCell ref="B45:D45"/>
    <mergeCell ref="B46:D46"/>
    <mergeCell ref="B51:D5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07DE9-667B-4660-AD3A-237EC13696FD}">
  <dimension ref="A1:E62"/>
  <sheetViews>
    <sheetView showGridLines="0" rightToLeft="1" workbookViewId="0">
      <selection activeCell="D3" sqref="D3"/>
    </sheetView>
  </sheetViews>
  <sheetFormatPr defaultRowHeight="15"/>
  <cols>
    <col min="1" max="1" width="2.875" style="472" customWidth="1"/>
    <col min="2" max="2" width="35.875" style="473" bestFit="1" customWidth="1"/>
    <col min="3" max="3" width="34.25" style="473" customWidth="1"/>
    <col min="4" max="4" width="18.375" style="474" customWidth="1"/>
    <col min="5" max="5" width="13.625" style="474" customWidth="1"/>
  </cols>
  <sheetData>
    <row r="1" spans="2:5">
      <c r="D1" s="473"/>
    </row>
    <row r="2" spans="2:5" ht="23.25" customHeight="1">
      <c r="C2" s="475" t="s">
        <v>338</v>
      </c>
      <c r="D2" s="507" t="str">
        <f>IF(שאלון!C22=0,"",שאלון!C22)</f>
        <v/>
      </c>
    </row>
    <row r="3" spans="2:5" ht="22.5" customHeight="1">
      <c r="C3" s="477" t="s">
        <v>155</v>
      </c>
      <c r="D3" s="507" t="str">
        <f>IF(שאלון!C23=0,"",שאלון!C23)</f>
        <v/>
      </c>
    </row>
    <row r="4" spans="2:5" ht="25.5" customHeight="1">
      <c r="C4" s="478" t="s">
        <v>151</v>
      </c>
      <c r="D4" s="515">
        <f>(שאלון!C24)</f>
        <v>0</v>
      </c>
      <c r="E4"/>
    </row>
    <row r="5" spans="2:5" ht="15.75" thickBot="1">
      <c r="D5" s="479"/>
      <c r="E5"/>
    </row>
    <row r="6" spans="2:5" ht="18.75" thickBot="1">
      <c r="B6" s="641" t="s">
        <v>454</v>
      </c>
      <c r="C6" s="642"/>
      <c r="D6" s="479"/>
      <c r="E6"/>
    </row>
    <row r="7" spans="2:5" ht="18">
      <c r="B7" s="480"/>
      <c r="D7" s="481"/>
      <c r="E7" s="482"/>
    </row>
    <row r="8" spans="2:5" ht="18">
      <c r="B8" s="483" t="str">
        <f>שאלון!B5</f>
        <v>תאריך הגשת הבקשה:</v>
      </c>
      <c r="C8" s="484" t="str">
        <f>IF(שאלון!C5=0,"",שאלון!C5)</f>
        <v/>
      </c>
      <c r="D8" s="485"/>
      <c r="E8" s="486"/>
    </row>
    <row r="9" spans="2:5" ht="18">
      <c r="B9" s="483" t="str">
        <f>שאלון!B7</f>
        <v>שם הארגון המבקש:</v>
      </c>
      <c r="C9" s="476" t="str">
        <f>IF(שאלון!C7=0,"",שאלון!C7)</f>
        <v/>
      </c>
      <c r="D9" s="485"/>
      <c r="E9" s="486"/>
    </row>
    <row r="10" spans="2:5" ht="18">
      <c r="B10" s="483" t="str">
        <f>שאלון!B8</f>
        <v>ח"פ/ע"ר של הארגון המבקש:</v>
      </c>
      <c r="C10" s="476" t="str">
        <f>IF(שאלון!C8=0,"",שאלון!C8)</f>
        <v/>
      </c>
      <c r="D10" s="485"/>
      <c r="E10" s="486"/>
    </row>
    <row r="11" spans="2:5" ht="18">
      <c r="B11" s="483" t="str">
        <f>שאלון!B10</f>
        <v>שם מרכז היום:</v>
      </c>
      <c r="C11" s="476" t="str">
        <f>IF(שאלון!C10=0,"",שאלון!C10)</f>
        <v/>
      </c>
      <c r="D11" s="485"/>
      <c r="E11" s="486"/>
    </row>
    <row r="12" spans="2:5" ht="18">
      <c r="B12" s="483" t="str">
        <f>שאלון!B11</f>
        <v>כתובת מרכז היום:</v>
      </c>
      <c r="C12" s="476" t="str">
        <f>IF(שאלון!C11=0,"",שאלון!C11)</f>
        <v/>
      </c>
      <c r="D12" s="485"/>
      <c r="E12" s="486"/>
    </row>
    <row r="13" spans="2:5" ht="18">
      <c r="B13" s="487" t="str">
        <f>שאלון!B17</f>
        <v>שם איש קשר:</v>
      </c>
      <c r="C13" s="476" t="str">
        <f>IF(שאלון!C17=0,"",שאלון!C17)</f>
        <v/>
      </c>
      <c r="D13" s="485"/>
      <c r="E13" s="486"/>
    </row>
    <row r="14" spans="2:5" ht="18">
      <c r="B14" s="487" t="str">
        <f>שאלון!B18</f>
        <v>תפקיד:</v>
      </c>
      <c r="C14" s="476" t="str">
        <f>IF(שאלון!C18=0,"",שאלון!C18)</f>
        <v/>
      </c>
      <c r="D14" s="485"/>
      <c r="E14" s="486"/>
    </row>
    <row r="15" spans="2:5" ht="18">
      <c r="B15" s="487" t="str">
        <f>שאלון!B19</f>
        <v>אימייל איש קשר:</v>
      </c>
      <c r="C15" s="476" t="str">
        <f>IF(שאלון!C19=0,"",שאלון!C19)</f>
        <v/>
      </c>
      <c r="D15" s="485"/>
      <c r="E15" s="486"/>
    </row>
    <row r="16" spans="2:5" ht="18">
      <c r="B16" s="487" t="str">
        <f>שאלון!B20</f>
        <v>טלפון איש קשר:</v>
      </c>
      <c r="C16" s="476" t="str">
        <f>IF(שאלון!C20=0,"",שאלון!C20)</f>
        <v/>
      </c>
      <c r="D16" s="485"/>
      <c r="E16" s="486"/>
    </row>
    <row r="17" spans="1:5" ht="15.75">
      <c r="B17" s="488"/>
      <c r="C17" s="489"/>
      <c r="D17" s="490"/>
      <c r="E17" s="482"/>
    </row>
    <row r="18" spans="1:5" ht="18">
      <c r="B18" s="491" t="s">
        <v>363</v>
      </c>
      <c r="C18" s="492" t="str">
        <f>IF(שאלון!C15=0,"",שאלון!C15)</f>
        <v/>
      </c>
      <c r="D18" s="490"/>
      <c r="E18" s="482"/>
    </row>
    <row r="19" spans="1:5" ht="15.75">
      <c r="D19" s="490"/>
      <c r="E19" s="482"/>
    </row>
    <row r="20" spans="1:5" ht="18" customHeight="1">
      <c r="B20" s="475" t="s">
        <v>192</v>
      </c>
      <c r="C20" s="493" t="s">
        <v>335</v>
      </c>
      <c r="D20" s="480"/>
      <c r="E20" s="482"/>
    </row>
    <row r="21" spans="1:5" ht="18">
      <c r="B21" s="475" t="s">
        <v>299</v>
      </c>
      <c r="C21" s="513">
        <f>SUMIF('ציוד כללי'!B:B,"אביזרים",'ציוד כללי'!O:O)</f>
        <v>0</v>
      </c>
      <c r="D21" s="485"/>
      <c r="E21" s="482"/>
    </row>
    <row r="22" spans="1:5" ht="18">
      <c r="B22" s="475" t="s">
        <v>91</v>
      </c>
      <c r="C22" s="513">
        <f>SUMIF('ציוד כללי'!B:B,"טיפוח חן",'ציוד כללי'!O:O)</f>
        <v>0</v>
      </c>
      <c r="D22" s="485"/>
      <c r="E22" s="482"/>
    </row>
    <row r="23" spans="1:5" ht="18">
      <c r="B23" s="475" t="s">
        <v>28</v>
      </c>
      <c r="C23" s="513">
        <f>SUMIF('ציוד כללי'!B:B,"כלי חשמל",'ציוד כללי'!O:O)</f>
        <v>0</v>
      </c>
      <c r="D23" s="485"/>
      <c r="E23" s="482"/>
    </row>
    <row r="24" spans="1:5" ht="18">
      <c r="B24" s="475" t="s">
        <v>24</v>
      </c>
      <c r="C24" s="513">
        <f>SUMIF('ציוד כללי'!B:B,"כללי",'ציוד כללי'!O:O)</f>
        <v>0</v>
      </c>
      <c r="D24" s="485"/>
      <c r="E24" s="482"/>
    </row>
    <row r="25" spans="1:5" ht="18">
      <c r="B25" s="475" t="s">
        <v>0</v>
      </c>
      <c r="C25" s="513">
        <f>SUMIF('ציוד כללי'!B:B,"חדר אוכל",'ציוד כללי'!O:O)</f>
        <v>0</v>
      </c>
      <c r="D25" s="485"/>
      <c r="E25" s="482"/>
    </row>
    <row r="26" spans="1:5" ht="18">
      <c r="B26" s="475" t="s">
        <v>17</v>
      </c>
      <c r="C26" s="513">
        <f>SUMIF('ציוד כללי'!B:B,"מיחשוב",'ציוד כללי'!O:O)</f>
        <v>0</v>
      </c>
      <c r="D26" s="485"/>
      <c r="E26" s="482"/>
    </row>
    <row r="27" spans="1:5" ht="18">
      <c r="B27" s="475" t="s">
        <v>27</v>
      </c>
      <c r="C27" s="513">
        <f>SUMIF('ציוד כללי'!B:B,"ציוד אלקטרוני",'ציוד כללי'!O:O)</f>
        <v>0</v>
      </c>
      <c r="D27" s="485"/>
      <c r="E27" s="482"/>
    </row>
    <row r="28" spans="1:5" ht="18">
      <c r="B28" s="475" t="s">
        <v>16</v>
      </c>
      <c r="C28" s="513">
        <f>SUMIF('ציוד כללי'!B:B,"ריהוט",'ציוד כללי'!O:O)</f>
        <v>0</v>
      </c>
      <c r="D28" s="485"/>
      <c r="E28" s="482"/>
    </row>
    <row r="29" spans="1:5" ht="18">
      <c r="B29" s="491" t="s">
        <v>459</v>
      </c>
      <c r="C29" s="514">
        <f>SUM(C21:D28)</f>
        <v>0</v>
      </c>
      <c r="D29" s="485"/>
      <c r="E29" s="482"/>
    </row>
    <row r="30" spans="1:5" ht="18">
      <c r="A30"/>
      <c r="B30" s="494"/>
      <c r="C30" s="475"/>
      <c r="D30" s="479"/>
      <c r="E30"/>
    </row>
    <row r="31" spans="1:5" ht="18">
      <c r="B31" s="475" t="s">
        <v>362</v>
      </c>
      <c r="C31" s="513" t="str">
        <f>IF('הנגשת ראייה'!N14=0,"",'הנגשת ראייה'!N14)</f>
        <v/>
      </c>
      <c r="D31" s="485"/>
    </row>
    <row r="32" spans="1:5" ht="18">
      <c r="B32" s="475" t="s">
        <v>26</v>
      </c>
      <c r="C32" s="513" t="str">
        <f>IF('הנגשת שמע'!O25=0,"",'הנגשת שמע'!O25)</f>
        <v/>
      </c>
      <c r="D32" s="485"/>
    </row>
    <row r="33" spans="1:5" ht="18">
      <c r="B33" s="475" t="s">
        <v>90</v>
      </c>
      <c r="C33" s="513" t="str">
        <f>IF('ריפוי בעיסוק ופיזיותרפיה'!M87=0,"",'ריפוי בעיסוק ופיזיותרפיה'!M87)</f>
        <v/>
      </c>
      <c r="D33" s="485"/>
    </row>
    <row r="34" spans="1:5" ht="18">
      <c r="B34" s="475" t="s">
        <v>156</v>
      </c>
      <c r="C34" s="513" t="str">
        <f>IF('מרחב חושי'!M30=0,"",'מרחב חושי'!M30)</f>
        <v/>
      </c>
      <c r="D34" s="485"/>
    </row>
    <row r="35" spans="1:5" ht="18">
      <c r="B35" s="475" t="s">
        <v>157</v>
      </c>
      <c r="C35" s="513" t="str">
        <f>IF('גינון טיפולי וחממה'!M53=0,"",'גינון טיפולי וחממה'!M53)</f>
        <v/>
      </c>
      <c r="D35" s="485"/>
    </row>
    <row r="36" spans="1:5" ht="18">
      <c r="B36" s="475" t="s">
        <v>30</v>
      </c>
      <c r="C36" s="513" t="str">
        <f>IF(חוגים!M21=0,"",חוגים!M21)</f>
        <v/>
      </c>
      <c r="D36" s="485"/>
    </row>
    <row r="37" spans="1:5" ht="18">
      <c r="B37" s="475" t="s">
        <v>20</v>
      </c>
      <c r="C37" s="513" t="str">
        <f>IF('עם הפנים לקהילה'!M14=0,"",'עם הפנים לקהילה'!M14)</f>
        <v/>
      </c>
      <c r="D37" s="485"/>
    </row>
    <row r="38" spans="1:5" ht="18">
      <c r="B38" s="475" t="s">
        <v>158</v>
      </c>
      <c r="C38" s="513" t="str">
        <f>IF('פנאי וטכנולוגיה מסייעת'!M22=0,"",'פנאי וטכנולוגיה מסייעת'!M22)</f>
        <v/>
      </c>
      <c r="D38" s="485"/>
    </row>
    <row r="39" spans="1:5" ht="18">
      <c r="B39" s="475" t="s">
        <v>194</v>
      </c>
      <c r="C39" s="513" t="str">
        <f>IF('ציוד ייעודי'!M31=0,"",'ציוד ייעודי'!M31)</f>
        <v/>
      </c>
      <c r="D39" s="485"/>
    </row>
    <row r="40" spans="1:5" ht="18">
      <c r="B40" s="491" t="s">
        <v>193</v>
      </c>
      <c r="C40" s="514">
        <f>SUM(C31:D39)</f>
        <v>0</v>
      </c>
      <c r="D40" s="485"/>
    </row>
    <row r="41" spans="1:5" ht="18">
      <c r="B41" s="488"/>
      <c r="C41" s="475"/>
      <c r="D41" s="473"/>
    </row>
    <row r="42" spans="1:5" ht="18">
      <c r="B42" s="491" t="s">
        <v>300</v>
      </c>
      <c r="C42" s="514">
        <f>C29+C40</f>
        <v>0</v>
      </c>
      <c r="D42" s="485"/>
    </row>
    <row r="43" spans="1:5" ht="18">
      <c r="B43" s="480"/>
      <c r="C43" s="485"/>
      <c r="D43" s="485"/>
    </row>
    <row r="44" spans="1:5" ht="18">
      <c r="B44" s="480"/>
      <c r="C44" s="485"/>
      <c r="D44" s="485"/>
    </row>
    <row r="45" spans="1:5" s="216" customFormat="1" ht="18">
      <c r="A45" s="474"/>
      <c r="B45" s="643" t="s">
        <v>152</v>
      </c>
      <c r="C45" s="643"/>
      <c r="D45" s="643"/>
      <c r="E45" s="474"/>
    </row>
    <row r="46" spans="1:5" s="216" customFormat="1" ht="18.75" customHeight="1">
      <c r="A46" s="474"/>
      <c r="B46" s="644"/>
      <c r="C46" s="644"/>
      <c r="D46" s="644"/>
      <c r="E46" s="474"/>
    </row>
    <row r="47" spans="1:5" s="498" customFormat="1" ht="18">
      <c r="A47" s="495"/>
      <c r="B47" s="496" t="s">
        <v>337</v>
      </c>
      <c r="C47" s="493" t="s">
        <v>153</v>
      </c>
      <c r="D47" s="466" t="s">
        <v>154</v>
      </c>
      <c r="E47" s="497"/>
    </row>
    <row r="48" spans="1:5" s="498" customFormat="1" ht="18">
      <c r="A48" s="495"/>
      <c r="B48" s="475" t="s">
        <v>336</v>
      </c>
      <c r="C48" s="467" t="str">
        <f>IF(D48=0,"",ROUNDUP(D48/$C42,4))</f>
        <v/>
      </c>
      <c r="D48" s="468">
        <f>MIN(D54,D60)</f>
        <v>0</v>
      </c>
      <c r="E48" s="497"/>
    </row>
    <row r="49" spans="1:5" s="498" customFormat="1" ht="18">
      <c r="A49" s="495"/>
      <c r="B49" s="499" t="s">
        <v>448</v>
      </c>
      <c r="C49" s="467" t="str">
        <f>IF(D49=0,"",ROUNDDOWN(D49/$C42,4))</f>
        <v/>
      </c>
      <c r="D49" s="468">
        <f>C42-D48</f>
        <v>0</v>
      </c>
      <c r="E49" s="497"/>
    </row>
    <row r="50" spans="1:5">
      <c r="D50" s="473"/>
    </row>
    <row r="51" spans="1:5" ht="15.75" hidden="1">
      <c r="B51" s="645" t="s">
        <v>424</v>
      </c>
      <c r="C51" s="645"/>
      <c r="D51" s="645"/>
    </row>
    <row r="52" spans="1:5" s="500" customFormat="1" hidden="1">
      <c r="B52" s="501" t="s">
        <v>376</v>
      </c>
      <c r="C52" s="502"/>
      <c r="D52" s="502"/>
    </row>
    <row r="53" spans="1:5" s="500" customFormat="1" hidden="1">
      <c r="B53" s="503" t="s">
        <v>377</v>
      </c>
      <c r="C53" s="503" t="s">
        <v>153</v>
      </c>
      <c r="D53" s="343" t="s">
        <v>154</v>
      </c>
    </row>
    <row r="54" spans="1:5" s="500" customFormat="1" hidden="1">
      <c r="B54" s="504" t="s">
        <v>378</v>
      </c>
      <c r="C54" s="334">
        <f>IF(D3="כן",90%,IF(D2&lt;=4,90%,IF(D2&lt;8,80%,70%)))</f>
        <v>0.7</v>
      </c>
      <c r="D54" s="344">
        <f>$C$42*C54</f>
        <v>0</v>
      </c>
    </row>
    <row r="55" spans="1:5" s="500" customFormat="1" hidden="1">
      <c r="B55" s="503" t="s">
        <v>379</v>
      </c>
      <c r="C55" s="505">
        <f>100%-C54</f>
        <v>0.30000000000000004</v>
      </c>
      <c r="D55" s="344">
        <f>$C$42*C55</f>
        <v>0</v>
      </c>
    </row>
    <row r="56" spans="1:5" s="500" customFormat="1" hidden="1">
      <c r="B56" s="503" t="s">
        <v>9</v>
      </c>
      <c r="C56" s="505">
        <f>SUM(C54:C55)</f>
        <v>1</v>
      </c>
      <c r="D56" s="344">
        <f>SUM(D54:D55)</f>
        <v>0</v>
      </c>
    </row>
    <row r="57" spans="1:5" s="500" customFormat="1" hidden="1">
      <c r="B57" s="502"/>
      <c r="C57" s="502"/>
      <c r="D57" s="506"/>
    </row>
    <row r="58" spans="1:5" s="500" customFormat="1" hidden="1">
      <c r="B58" s="501" t="s">
        <v>380</v>
      </c>
      <c r="C58" s="502"/>
      <c r="D58" s="506"/>
    </row>
    <row r="59" spans="1:5" s="500" customFormat="1" hidden="1">
      <c r="B59" s="503" t="s">
        <v>377</v>
      </c>
      <c r="C59" s="503" t="s">
        <v>153</v>
      </c>
      <c r="D59" s="344" t="s">
        <v>154</v>
      </c>
    </row>
    <row r="60" spans="1:5" s="500" customFormat="1" hidden="1">
      <c r="B60" s="504" t="s">
        <v>381</v>
      </c>
      <c r="C60" s="505" t="str">
        <f>IF($D$60=0,"",IF($D$54&lt;$D$60,"",ROUNDUP(D60/C$42,4)))</f>
        <v/>
      </c>
      <c r="D60" s="344">
        <f>D4</f>
        <v>0</v>
      </c>
    </row>
    <row r="61" spans="1:5" s="500" customFormat="1" hidden="1">
      <c r="B61" s="503" t="s">
        <v>379</v>
      </c>
      <c r="C61" s="505" t="str">
        <f>IF($D$60=0,"",IF($D$54&lt;$D$60,"",ROUNDUP(D61/C$42,4)))</f>
        <v/>
      </c>
      <c r="D61" s="344">
        <f>IF($D$54&lt;$D$60,"",(D62-D60))</f>
        <v>0</v>
      </c>
    </row>
    <row r="62" spans="1:5" s="500" customFormat="1" hidden="1">
      <c r="B62" s="503" t="s">
        <v>9</v>
      </c>
      <c r="C62" s="505">
        <f>IF($D$24&lt;$D$30,"",SUM(C60:C61))</f>
        <v>0</v>
      </c>
      <c r="D62" s="344">
        <f>IF($D$54&lt;$D$60,"",C42)</f>
        <v>0</v>
      </c>
    </row>
  </sheetData>
  <sheetProtection algorithmName="SHA-512" hashValue="ix9GZL6CrQ4o8Br2eWXxl/JuRaemjuWJa8TfhfGH/OxNeOwN+p2OslrUGppfzj6NZjXB/7JU26cPxJcqIvtyZQ==" saltValue="gEQISaBNZk7UtiboCF6pag==" spinCount="100000" sheet="1" objects="1" scenarios="1"/>
  <mergeCells count="4">
    <mergeCell ref="B45:D45"/>
    <mergeCell ref="B46:D46"/>
    <mergeCell ref="B51:D51"/>
    <mergeCell ref="B6:C6"/>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30D27-BD17-4743-9392-4EC432F85C3B}">
  <dimension ref="B6:E39"/>
  <sheetViews>
    <sheetView rightToLeft="1" workbookViewId="0">
      <selection activeCell="E6" sqref="E6"/>
    </sheetView>
  </sheetViews>
  <sheetFormatPr defaultColWidth="9.125" defaultRowHeight="15"/>
  <cols>
    <col min="1" max="1" width="2.875" style="191" customWidth="1"/>
    <col min="2" max="2" width="47" style="191" customWidth="1"/>
    <col min="3" max="3" width="18.125" style="191" customWidth="1"/>
    <col min="4" max="4" width="19.125" style="191" customWidth="1"/>
    <col min="5" max="5" width="12.125" style="191" customWidth="1"/>
    <col min="6" max="16384" width="9.125" style="191"/>
  </cols>
  <sheetData>
    <row r="6" spans="2:5">
      <c r="D6" s="192" t="s">
        <v>364</v>
      </c>
      <c r="E6" s="193" t="str">
        <f>IF(שאלון!C22=0,"",שאלון!C22)</f>
        <v/>
      </c>
    </row>
    <row r="7" spans="2:5">
      <c r="D7" s="192" t="s">
        <v>155</v>
      </c>
      <c r="E7" s="193" t="str">
        <f>IF(שאלון!C23=0,"",שאלון!C23)</f>
        <v/>
      </c>
    </row>
    <row r="8" spans="2:5" ht="15.75">
      <c r="B8" s="194" t="s">
        <v>365</v>
      </c>
      <c r="D8" s="195" t="s">
        <v>366</v>
      </c>
      <c r="E8" s="196">
        <v>5000</v>
      </c>
    </row>
    <row r="9" spans="2:5">
      <c r="B9" s="191" t="s">
        <v>367</v>
      </c>
      <c r="C9" s="197">
        <v>0</v>
      </c>
    </row>
    <row r="10" spans="2:5">
      <c r="B10" s="198" t="s">
        <v>368</v>
      </c>
      <c r="C10" s="191">
        <v>0</v>
      </c>
    </row>
    <row r="11" spans="2:5">
      <c r="B11" s="191" t="s">
        <v>387</v>
      </c>
      <c r="C11" s="191">
        <v>0</v>
      </c>
    </row>
    <row r="12" spans="2:5">
      <c r="B12" s="191" t="s">
        <v>369</v>
      </c>
      <c r="C12" s="191">
        <v>0</v>
      </c>
    </row>
    <row r="13" spans="2:5">
      <c r="B13" s="191" t="s">
        <v>370</v>
      </c>
      <c r="C13" s="191">
        <v>0</v>
      </c>
    </row>
    <row r="15" spans="2:5" ht="45">
      <c r="B15" s="199" t="s">
        <v>371</v>
      </c>
      <c r="C15" s="199" t="s">
        <v>372</v>
      </c>
    </row>
    <row r="16" spans="2:5">
      <c r="B16" s="199" t="s">
        <v>384</v>
      </c>
      <c r="C16" s="200">
        <v>15000</v>
      </c>
    </row>
    <row r="17" spans="2:4">
      <c r="B17" s="199" t="s">
        <v>385</v>
      </c>
      <c r="C17" s="200">
        <v>0</v>
      </c>
    </row>
    <row r="18" spans="2:4">
      <c r="B18" s="199" t="s">
        <v>373</v>
      </c>
      <c r="C18" s="200">
        <v>0</v>
      </c>
      <c r="D18" s="201" t="s">
        <v>386</v>
      </c>
    </row>
    <row r="19" spans="2:4">
      <c r="B19" s="199" t="s">
        <v>374</v>
      </c>
      <c r="C19" s="200">
        <v>0</v>
      </c>
      <c r="D19" s="201" t="s">
        <v>386</v>
      </c>
    </row>
    <row r="20" spans="2:4">
      <c r="B20" s="193" t="s">
        <v>375</v>
      </c>
      <c r="C20" s="200">
        <f>SUM(C16:C19)</f>
        <v>15000</v>
      </c>
    </row>
    <row r="22" spans="2:4">
      <c r="B22" s="198" t="s">
        <v>376</v>
      </c>
    </row>
    <row r="23" spans="2:4">
      <c r="B23" s="193" t="s">
        <v>377</v>
      </c>
      <c r="C23" s="193" t="s">
        <v>153</v>
      </c>
      <c r="D23" s="202" t="s">
        <v>154</v>
      </c>
    </row>
    <row r="24" spans="2:4">
      <c r="B24" s="199" t="s">
        <v>378</v>
      </c>
      <c r="C24" s="203">
        <f>IF(E7="כן",90%,IF(E6&lt;=4,90%,IF(E6&lt;8,80%,70%)))</f>
        <v>0.7</v>
      </c>
      <c r="D24" s="204">
        <f>$C$20*C24</f>
        <v>10500</v>
      </c>
    </row>
    <row r="25" spans="2:4">
      <c r="B25" s="193" t="s">
        <v>379</v>
      </c>
      <c r="C25" s="205">
        <f>100%-C24</f>
        <v>0.30000000000000004</v>
      </c>
      <c r="D25" s="204">
        <f>$C$20*C25</f>
        <v>4500.0000000000009</v>
      </c>
    </row>
    <row r="26" spans="2:4">
      <c r="B26" s="193" t="s">
        <v>9</v>
      </c>
      <c r="C26" s="205">
        <f>SUM(C24:C25)</f>
        <v>1</v>
      </c>
      <c r="D26" s="204">
        <f>SUM(D24:D25)</f>
        <v>15000</v>
      </c>
    </row>
    <row r="27" spans="2:4">
      <c r="D27" s="206"/>
    </row>
    <row r="28" spans="2:4">
      <c r="B28" s="198" t="s">
        <v>380</v>
      </c>
      <c r="D28" s="206"/>
    </row>
    <row r="29" spans="2:4">
      <c r="B29" s="193" t="s">
        <v>377</v>
      </c>
      <c r="C29" s="193" t="s">
        <v>153</v>
      </c>
      <c r="D29" s="204" t="s">
        <v>154</v>
      </c>
    </row>
    <row r="30" spans="2:4">
      <c r="B30" s="199" t="s">
        <v>381</v>
      </c>
      <c r="C30" s="205">
        <f>IF($D$30=0,"",IF($D$24&lt;$D$30,"",ROUNDUP(D30/C$20,4)))</f>
        <v>0.33339999999999997</v>
      </c>
      <c r="D30" s="204">
        <f>E8</f>
        <v>5000</v>
      </c>
    </row>
    <row r="31" spans="2:4">
      <c r="B31" s="193" t="s">
        <v>379</v>
      </c>
      <c r="C31" s="205">
        <f>IF($D$30=0,"",IF($D$24&lt;$D$30,"",ROUNDDOWN(D31/C$20,4)))</f>
        <v>0.66659999999999997</v>
      </c>
      <c r="D31" s="204">
        <f>IF($D$24&lt;$D$30,"",(D32-D30))</f>
        <v>10000</v>
      </c>
    </row>
    <row r="32" spans="2:4">
      <c r="B32" s="193" t="s">
        <v>9</v>
      </c>
      <c r="C32" s="205">
        <f>IF($D$24&lt;$D$30,"",SUM(C30:C31))</f>
        <v>1</v>
      </c>
      <c r="D32" s="204">
        <f>IF($D$24&lt;$D$30,"",C20)</f>
        <v>15000</v>
      </c>
    </row>
    <row r="33" spans="2:5">
      <c r="C33" s="207"/>
      <c r="D33" s="208"/>
    </row>
    <row r="34" spans="2:5" ht="18.75">
      <c r="B34" s="209" t="s">
        <v>152</v>
      </c>
      <c r="D34" s="206"/>
    </row>
    <row r="35" spans="2:5" ht="18.75">
      <c r="B35" s="209" t="s">
        <v>382</v>
      </c>
      <c r="C35" s="194"/>
      <c r="D35" s="210"/>
    </row>
    <row r="36" spans="2:5">
      <c r="B36" s="211" t="s">
        <v>377</v>
      </c>
      <c r="C36" s="211" t="s">
        <v>153</v>
      </c>
      <c r="D36" s="212" t="s">
        <v>154</v>
      </c>
    </row>
    <row r="37" spans="2:5">
      <c r="B37" s="213" t="s">
        <v>383</v>
      </c>
      <c r="C37" s="214">
        <f>IF(D37=0,"",ROUNDUP(D37/C$20,4))</f>
        <v>0.33339999999999997</v>
      </c>
      <c r="D37" s="212">
        <f>MIN(D24,D30)</f>
        <v>5000</v>
      </c>
      <c r="E37" s="215"/>
    </row>
    <row r="38" spans="2:5">
      <c r="B38" s="211" t="s">
        <v>379</v>
      </c>
      <c r="C38" s="214">
        <f>IF(D38=0,"",ROUNDDOWN(D38/C$20,4))</f>
        <v>0.66659999999999997</v>
      </c>
      <c r="D38" s="212">
        <f>D39-D37</f>
        <v>10000</v>
      </c>
    </row>
    <row r="39" spans="2:5">
      <c r="B39" s="211" t="s">
        <v>9</v>
      </c>
      <c r="C39" s="214">
        <f>IF(D39=0,"",SUM(C37:C38))</f>
        <v>1</v>
      </c>
      <c r="D39" s="212">
        <f>C20</f>
        <v>15000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מסמך" ma:contentTypeID="0x01010053341AECA9AC4D16BEBCB25A3AF69283" ma:contentTypeVersion="1" ma:contentTypeDescription="צור מסמך חדש." ma:contentTypeScope="" ma:versionID="28fb3e67608af3ded7869f15c8e80614">
  <xsd:schema xmlns:xsd="http://www.w3.org/2001/XMLSchema" xmlns:xs="http://www.w3.org/2001/XMLSchema" xmlns:p="http://schemas.microsoft.com/office/2006/metadata/properties" xmlns:ns1="http://schemas.microsoft.com/sharepoint/v3" targetNamespace="http://schemas.microsoft.com/office/2006/metadata/properties" ma:root="true" ma:fieldsID="08da46b6ae811ef844734bd8bf08ae2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מתזמן תאריך התחלה" ma:description="" ma:internalName="PublishingStartDate">
      <xsd:simpleType>
        <xsd:restriction base="dms:Unknown"/>
      </xsd:simpleType>
    </xsd:element>
    <xsd:element name="PublishingExpirationDate" ma:index="9" nillable="true" ma:displayName="מתזמן תאריך סיום"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1567227-35FD-4E0C-8C5C-5A192FF94020}">
  <ds:schemaRefs>
    <ds:schemaRef ds:uri="http://schemas.microsoft.com/DataMashup"/>
  </ds:schemaRefs>
</ds:datastoreItem>
</file>

<file path=customXml/itemProps2.xml><?xml version="1.0" encoding="utf-8"?>
<ds:datastoreItem xmlns:ds="http://schemas.openxmlformats.org/officeDocument/2006/customXml" ds:itemID="{332734B9-F0FE-4D1B-AF62-E53D279BC032}">
  <ds:schemaRefs>
    <ds:schemaRef ds:uri="http://schemas.microsoft.com/sharepoint/v3/contenttype/forms"/>
  </ds:schemaRefs>
</ds:datastoreItem>
</file>

<file path=customXml/itemProps3.xml><?xml version="1.0" encoding="utf-8"?>
<ds:datastoreItem xmlns:ds="http://schemas.openxmlformats.org/officeDocument/2006/customXml" ds:itemID="{E147FC26-D67E-4DE1-9FE4-364F973458E3}"/>
</file>

<file path=customXml/itemProps4.xml><?xml version="1.0" encoding="utf-8"?>
<ds:datastoreItem xmlns:ds="http://schemas.openxmlformats.org/officeDocument/2006/customXml" ds:itemID="{564A8606-2E76-4EF0-9A66-A1B177D248E7}">
  <ds:schemaRefs>
    <ds:schemaRef ds:uri="http://www.w3.org/XML/1998/namespace"/>
    <ds:schemaRef ds:uri="http://purl.org/dc/terms/"/>
    <ds:schemaRef ds:uri="http://purl.org/dc/elements/1.1/"/>
    <ds:schemaRef ds:uri="3899f920-778c-450f-bf70-94a3d01b811a"/>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53e29dc9-def1-48e4-9f32-dab8c66d4ac0"/>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16</vt:i4>
      </vt:variant>
    </vt:vector>
  </HeadingPairs>
  <TitlesOfParts>
    <vt:vector size="16" baseType="lpstr">
      <vt:lpstr>מבוא</vt:lpstr>
      <vt:lpstr>שאלון</vt:lpstr>
      <vt:lpstr>טבלת תקן</vt:lpstr>
      <vt:lpstr>ציוד כללי</vt:lpstr>
      <vt:lpstr>הנגשת ראייה</vt:lpstr>
      <vt:lpstr>הנגשת שמע</vt:lpstr>
      <vt:lpstr>ריפוי בעיסוק ופיזיותרפיה</vt:lpstr>
      <vt:lpstr>מרחב חושי</vt:lpstr>
      <vt:lpstr>גינון טיפולי וחממה</vt:lpstr>
      <vt:lpstr>חוגים</vt:lpstr>
      <vt:lpstr>עם הפנים לקהילה</vt:lpstr>
      <vt:lpstr>פנאי וטכנולוגיה מסייעת</vt:lpstr>
      <vt:lpstr>ציוד ייעודי</vt:lpstr>
      <vt:lpstr>סיכום תקציב הגוף המבקש</vt:lpstr>
      <vt:lpstr>סיכום לועדה</vt:lpstr>
      <vt:lpstr>נוסחאות</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MosheGreen</dc:creator>
  <cp:keywords/>
  <dc:description/>
  <cp:lastModifiedBy>הילה ידיד ברזילי</cp:lastModifiedBy>
  <cp:lastPrinted>2022-06-16T11:19:25Z</cp:lastPrinted>
  <dcterms:created xsi:type="dcterms:W3CDTF">2009-11-25T09:10:09Z</dcterms:created>
  <dcterms:modified xsi:type="dcterms:W3CDTF">2026-10-18T09:16:33Z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חשבון מערכת</vt:lpwstr>
  </property>
  <property fmtid="{D5CDD505-2E9C-101B-9397-08002B2CF9AE}" pid="3" name="xd_Signature">
    <vt:lpwstr/>
  </property>
  <property fmtid="{D5CDD505-2E9C-101B-9397-08002B2CF9AE}" pid="4" name="Order">
    <vt:r8>4100</vt:r8>
  </property>
  <property fmtid="{D5CDD505-2E9C-101B-9397-08002B2CF9AE}" pid="5" name="TemplateUrl">
    <vt:lpwstr/>
  </property>
  <property fmtid="{D5CDD505-2E9C-101B-9397-08002B2CF9AE}" pid="6" name="xd_ProgID">
    <vt:lpwstr/>
  </property>
  <property fmtid="{D5CDD505-2E9C-101B-9397-08002B2CF9AE}" pid="7" name="PublishingStartDate">
    <vt:lpwstr/>
  </property>
  <property fmtid="{D5CDD505-2E9C-101B-9397-08002B2CF9AE}" pid="8" name="PublishingExpirationDate">
    <vt:lpwstr/>
  </property>
  <property fmtid="{D5CDD505-2E9C-101B-9397-08002B2CF9AE}" pid="9" name="display_urn:schemas-microsoft-com:office:office#Author">
    <vt:lpwstr>חשבון מערכת</vt:lpwstr>
  </property>
  <property fmtid="{D5CDD505-2E9C-101B-9397-08002B2CF9AE}" pid="10" name="_NewReviewCycle">
    <vt:lpwstr/>
  </property>
  <property fmtid="{D5CDD505-2E9C-101B-9397-08002B2CF9AE}" pid="11" name="ContentTypeId">
    <vt:lpwstr>0x01010053341AECA9AC4D16BEBCB25A3AF69283</vt:lpwstr>
  </property>
  <property fmtid="{D5CDD505-2E9C-101B-9397-08002B2CF9AE}" pid="12" name="MSIP_Label_06ece0c7-932b-40b4-b321-455f4cb98a38_Enabled">
    <vt:lpwstr>true</vt:lpwstr>
  </property>
  <property fmtid="{D5CDD505-2E9C-101B-9397-08002B2CF9AE}" pid="13" name="MSIP_Label_06ece0c7-932b-40b4-b321-455f4cb98a38_SetDate">
    <vt:lpwstr>2025-11-30T12:27:06Z</vt:lpwstr>
  </property>
  <property fmtid="{D5CDD505-2E9C-101B-9397-08002B2CF9AE}" pid="14" name="MSIP_Label_06ece0c7-932b-40b4-b321-455f4cb98a38_Method">
    <vt:lpwstr>Standard</vt:lpwstr>
  </property>
  <property fmtid="{D5CDD505-2E9C-101B-9397-08002B2CF9AE}" pid="15" name="MSIP_Label_06ece0c7-932b-40b4-b321-455f4cb98a38_Name">
    <vt:lpwstr>ללא מוצפן</vt:lpwstr>
  </property>
  <property fmtid="{D5CDD505-2E9C-101B-9397-08002B2CF9AE}" pid="16" name="MSIP_Label_06ece0c7-932b-40b4-b321-455f4cb98a38_SiteId">
    <vt:lpwstr>f9121567-a450-4396-8701-1437a4efe1d7</vt:lpwstr>
  </property>
  <property fmtid="{D5CDD505-2E9C-101B-9397-08002B2CF9AE}" pid="17" name="MSIP_Label_06ece0c7-932b-40b4-b321-455f4cb98a38_ActionId">
    <vt:lpwstr>282c3a3d-7915-4366-8b81-9398f6967df3</vt:lpwstr>
  </property>
  <property fmtid="{D5CDD505-2E9C-101B-9397-08002B2CF9AE}" pid="18" name="MSIP_Label_06ece0c7-932b-40b4-b321-455f4cb98a38_ContentBits">
    <vt:lpwstr>0</vt:lpwstr>
  </property>
  <property fmtid="{D5CDD505-2E9C-101B-9397-08002B2CF9AE}" pid="19" name="MSIP_Label_06ece0c7-932b-40b4-b321-455f4cb98a38_Tag">
    <vt:lpwstr>10, 3, 0, 1</vt:lpwstr>
  </property>
  <property fmtid="{D5CDD505-2E9C-101B-9397-08002B2CF9AE}" pid="20" name="_SourceUrl">
    <vt:lpwstr/>
  </property>
  <property fmtid="{D5CDD505-2E9C-101B-9397-08002B2CF9AE}" pid="21" name="_SharedFileIndex">
    <vt:lpwstr/>
  </property>
</Properties>
</file>