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lsfs01\ProfilesDisk\orf\Desktop\"/>
    </mc:Choice>
  </mc:AlternateContent>
  <bookViews>
    <workbookView xWindow="-120" yWindow="-120" windowWidth="29040" windowHeight="15840" tabRatio="782" firstSheet="1" activeTab="1"/>
  </bookViews>
  <sheets>
    <sheet name="נוסחאות" sheetId="1" state="hidden" r:id="rId1"/>
    <sheet name="הסבר תקן" sheetId="14" r:id="rId2"/>
    <sheet name="נספח" sheetId="7" r:id="rId3"/>
    <sheet name="שאלון למילוי הגוף-חובה" sheetId="10" r:id="rId4"/>
    <sheet name="ריהוט, אחסנה, חצר והצללה" sheetId="8" r:id="rId5"/>
    <sheet name="שינוע, מכונות מטבח ושונות" sheetId="11" r:id="rId6"/>
    <sheet name="טבלאות עזר לחישוב" sheetId="9" state="hidden" r:id="rId7"/>
    <sheet name="טבלת ציוד יעודי" sheetId="15" r:id="rId8"/>
    <sheet name="כלי עבודה+ סיכום תקן" sheetId="13" r:id="rId9"/>
    <sheet name="פורמט לועדה- סיכום" sheetId="5" r:id="rId10"/>
  </sheets>
  <definedNames>
    <definedName name="BedroomType" localSheetId="1">#REF!</definedName>
    <definedName name="BedroomType" localSheetId="6">#REF!</definedName>
    <definedName name="BedroomType" localSheetId="8">#REF!</definedName>
    <definedName name="BedroomType" localSheetId="3">#REF!</definedName>
    <definedName name="BedroomType" localSheetId="5">#REF!</definedName>
    <definedName name="BedroomType">#REF!</definedName>
    <definedName name="_xlnm.Print_Area" localSheetId="1">'הסבר תקן'!$B$2:$M$68</definedName>
    <definedName name="_xlnm.Print_Area" localSheetId="8">'כלי עבודה+ סיכום תקן'!$B$4:$T$30</definedName>
    <definedName name="_xlnm.Print_Area" localSheetId="9">'פורמט לועדה- סיכום'!$A$1:$G$43</definedName>
    <definedName name="_xlnm.Print_Area" localSheetId="4">'ריהוט, אחסנה, חצר והצללה'!$B$4:$W$46</definedName>
    <definedName name="_xlnm.Print_Area" localSheetId="5">'שינוע, מכונות מטבח ושונות'!$B$4:$V$76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5" l="1"/>
  <c r="D26" i="5"/>
  <c r="D25" i="5"/>
  <c r="D24" i="5"/>
  <c r="D23" i="5"/>
  <c r="D22" i="5"/>
  <c r="T44" i="8"/>
  <c r="T43" i="8"/>
  <c r="T38" i="8"/>
  <c r="T32" i="8"/>
  <c r="T31" i="8"/>
  <c r="T30" i="8"/>
  <c r="T29" i="8"/>
  <c r="T28" i="8"/>
  <c r="T27" i="8"/>
  <c r="T22" i="8"/>
  <c r="T21" i="8"/>
  <c r="T8" i="8"/>
  <c r="T9" i="8"/>
  <c r="T10" i="8"/>
  <c r="T11" i="8"/>
  <c r="T12" i="8"/>
  <c r="T13" i="8"/>
  <c r="T14" i="8"/>
  <c r="T7" i="8"/>
  <c r="S71" i="11"/>
  <c r="S70" i="11"/>
  <c r="S69" i="11"/>
  <c r="S68" i="11"/>
  <c r="S67" i="11"/>
  <c r="S66" i="11"/>
  <c r="S65" i="11"/>
  <c r="S64" i="11"/>
  <c r="S63" i="11"/>
  <c r="S62" i="11"/>
  <c r="S61" i="11"/>
  <c r="S60" i="11"/>
  <c r="S59" i="11"/>
  <c r="S58" i="11"/>
  <c r="S57" i="11"/>
  <c r="S56" i="11"/>
  <c r="S55" i="11"/>
  <c r="S54" i="11"/>
  <c r="S53" i="11"/>
  <c r="S52" i="11"/>
  <c r="S51" i="11"/>
  <c r="S50" i="11"/>
  <c r="S49" i="11"/>
  <c r="S48" i="11"/>
  <c r="S47" i="11"/>
  <c r="S46" i="11"/>
  <c r="S45" i="11"/>
  <c r="S44" i="11"/>
  <c r="S43" i="11"/>
  <c r="S42" i="11"/>
  <c r="S36" i="11"/>
  <c r="S35" i="11"/>
  <c r="S34" i="11"/>
  <c r="S33" i="11"/>
  <c r="S32" i="11"/>
  <c r="S31" i="11"/>
  <c r="S30" i="11"/>
  <c r="S29" i="11"/>
  <c r="S22" i="11"/>
  <c r="S21" i="11"/>
  <c r="S20" i="11"/>
  <c r="S19" i="11"/>
  <c r="S18" i="11"/>
  <c r="S17" i="11"/>
  <c r="S8" i="11"/>
  <c r="S9" i="11"/>
  <c r="S10" i="11"/>
  <c r="S11" i="11"/>
  <c r="S7" i="11"/>
  <c r="Q8" i="13"/>
  <c r="Q9" i="13"/>
  <c r="Q10" i="13"/>
  <c r="Q11" i="13"/>
  <c r="Q12" i="13"/>
  <c r="Q13" i="13"/>
  <c r="Q14" i="13"/>
  <c r="Q7" i="13"/>
  <c r="M8" i="13"/>
  <c r="M9" i="13"/>
  <c r="M10" i="13"/>
  <c r="M11" i="13"/>
  <c r="M12" i="13"/>
  <c r="M13" i="13"/>
  <c r="M14" i="13"/>
  <c r="M7" i="13"/>
  <c r="M15" i="13" s="1"/>
  <c r="D29" i="5" s="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38" i="11"/>
  <c r="O36" i="11"/>
  <c r="O35" i="11"/>
  <c r="O34" i="11"/>
  <c r="O33" i="11"/>
  <c r="O32" i="11"/>
  <c r="O31" i="11"/>
  <c r="O30" i="11"/>
  <c r="O29" i="11"/>
  <c r="O24" i="11"/>
  <c r="O22" i="11"/>
  <c r="O21" i="11"/>
  <c r="O20" i="11"/>
  <c r="O19" i="11"/>
  <c r="O18" i="11"/>
  <c r="O17" i="11"/>
  <c r="O8" i="11"/>
  <c r="O9" i="11"/>
  <c r="O10" i="11"/>
  <c r="O11" i="11"/>
  <c r="O7" i="11"/>
  <c r="O13" i="11" s="1"/>
  <c r="P45" i="8"/>
  <c r="P43" i="8"/>
  <c r="P38" i="8"/>
  <c r="P40" i="8" s="1"/>
  <c r="P33" i="8"/>
  <c r="P31" i="8"/>
  <c r="P30" i="8"/>
  <c r="P29" i="8"/>
  <c r="P28" i="8"/>
  <c r="P27" i="8"/>
  <c r="P23" i="8"/>
  <c r="P21" i="8"/>
  <c r="P8" i="8"/>
  <c r="P9" i="8"/>
  <c r="P10" i="8"/>
  <c r="P11" i="8"/>
  <c r="P12" i="8"/>
  <c r="P13" i="8"/>
  <c r="P14" i="8"/>
  <c r="P7" i="8"/>
  <c r="P16" i="8" s="1"/>
  <c r="D21" i="5" s="1"/>
  <c r="C12" i="5"/>
  <c r="U32" i="8"/>
  <c r="U22" i="8"/>
  <c r="U44" i="8"/>
  <c r="O28" i="8"/>
  <c r="O8" i="8"/>
  <c r="O9" i="8"/>
  <c r="F8" i="8"/>
  <c r="H8" i="8" s="1"/>
  <c r="F7" i="8"/>
  <c r="H7" i="8" s="1"/>
  <c r="F9" i="8"/>
  <c r="H9" i="8" s="1"/>
  <c r="O73" i="11" l="1"/>
  <c r="D28" i="5" s="1"/>
  <c r="F10" i="8"/>
  <c r="T71" i="11"/>
  <c r="U71" i="11"/>
  <c r="U48" i="11"/>
  <c r="U45" i="11"/>
  <c r="U46" i="11"/>
  <c r="V8" i="8"/>
  <c r="V9" i="8"/>
  <c r="V28" i="8"/>
  <c r="G46" i="11"/>
  <c r="G48" i="11"/>
  <c r="N48" i="11"/>
  <c r="G45" i="11"/>
  <c r="N71" i="11"/>
  <c r="G71" i="11"/>
  <c r="F28" i="8"/>
  <c r="H28" i="8" s="1"/>
  <c r="F44" i="15" l="1"/>
  <c r="E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44" i="15" l="1"/>
  <c r="L8" i="13"/>
  <c r="C30" i="5" l="1"/>
  <c r="D30" i="5"/>
  <c r="D31" i="5" s="1"/>
  <c r="C16" i="5"/>
  <c r="C15" i="5"/>
  <c r="C14" i="5"/>
  <c r="C13" i="5"/>
  <c r="C11" i="5"/>
  <c r="C10" i="5"/>
  <c r="C9" i="5"/>
  <c r="C8" i="5"/>
  <c r="C7" i="5"/>
  <c r="C6" i="5"/>
  <c r="C5" i="5"/>
  <c r="N56" i="11"/>
  <c r="T70" i="11"/>
  <c r="U69" i="11"/>
  <c r="T68" i="11"/>
  <c r="T67" i="11"/>
  <c r="T66" i="11"/>
  <c r="U65" i="11"/>
  <c r="T64" i="11"/>
  <c r="U63" i="11"/>
  <c r="T62" i="11"/>
  <c r="T61" i="11"/>
  <c r="T60" i="11"/>
  <c r="T59" i="11"/>
  <c r="T58" i="11"/>
  <c r="T57" i="11"/>
  <c r="U56" i="11"/>
  <c r="T55" i="11"/>
  <c r="U54" i="11"/>
  <c r="T53" i="11"/>
  <c r="U52" i="11"/>
  <c r="U51" i="11"/>
  <c r="T50" i="11"/>
  <c r="N54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5" i="11"/>
  <c r="N53" i="11"/>
  <c r="N52" i="11"/>
  <c r="N51" i="11"/>
  <c r="N50" i="11"/>
  <c r="D41" i="9"/>
  <c r="D40" i="9"/>
  <c r="T63" i="11" l="1"/>
  <c r="T51" i="11"/>
  <c r="U50" i="11"/>
  <c r="U58" i="11"/>
  <c r="T52" i="11"/>
  <c r="U66" i="11"/>
  <c r="T56" i="11"/>
  <c r="U57" i="11"/>
  <c r="T54" i="11"/>
  <c r="U59" i="11"/>
  <c r="U60" i="11"/>
  <c r="U67" i="11"/>
  <c r="T69" i="11"/>
  <c r="U64" i="11"/>
  <c r="T65" i="11"/>
  <c r="U53" i="11"/>
  <c r="U61" i="11"/>
  <c r="U68" i="11"/>
  <c r="U55" i="11"/>
  <c r="U62" i="11"/>
  <c r="U70" i="11"/>
  <c r="G63" i="11"/>
  <c r="G64" i="11"/>
  <c r="G66" i="11"/>
  <c r="G65" i="11"/>
  <c r="G67" i="11"/>
  <c r="G61" i="11"/>
  <c r="G60" i="11"/>
  <c r="G53" i="11"/>
  <c r="G52" i="11"/>
  <c r="G51" i="11"/>
  <c r="G50" i="11"/>
  <c r="G49" i="11"/>
  <c r="N49" i="11"/>
  <c r="G59" i="11"/>
  <c r="G58" i="11"/>
  <c r="G57" i="11"/>
  <c r="G56" i="11"/>
  <c r="G55" i="11"/>
  <c r="G54" i="11"/>
  <c r="J23" i="11"/>
  <c r="T49" i="11" l="1"/>
  <c r="U49" i="11"/>
  <c r="L7" i="13"/>
  <c r="L14" i="13"/>
  <c r="L13" i="13"/>
  <c r="L12" i="13"/>
  <c r="L11" i="13"/>
  <c r="L10" i="13"/>
  <c r="L9" i="13"/>
  <c r="E14" i="13"/>
  <c r="E13" i="13"/>
  <c r="E12" i="13"/>
  <c r="E11" i="13"/>
  <c r="E10" i="13"/>
  <c r="E9" i="13"/>
  <c r="E8" i="13"/>
  <c r="E7" i="13"/>
  <c r="N47" i="11"/>
  <c r="N44" i="11"/>
  <c r="N43" i="11"/>
  <c r="N42" i="11"/>
  <c r="N29" i="11"/>
  <c r="N36" i="11"/>
  <c r="N35" i="11"/>
  <c r="N34" i="11"/>
  <c r="N33" i="11"/>
  <c r="N32" i="11"/>
  <c r="N31" i="11"/>
  <c r="N30" i="11"/>
  <c r="N17" i="11"/>
  <c r="N23" i="11"/>
  <c r="N22" i="11"/>
  <c r="N21" i="11"/>
  <c r="N20" i="11"/>
  <c r="N19" i="11"/>
  <c r="N18" i="11"/>
  <c r="N7" i="11"/>
  <c r="N11" i="11"/>
  <c r="N10" i="11"/>
  <c r="N9" i="11"/>
  <c r="N8" i="11"/>
  <c r="V43" i="8"/>
  <c r="V38" i="8"/>
  <c r="V31" i="8"/>
  <c r="V30" i="8"/>
  <c r="V29" i="8"/>
  <c r="V27" i="8"/>
  <c r="V14" i="8"/>
  <c r="V13" i="8"/>
  <c r="V12" i="8"/>
  <c r="V11" i="8"/>
  <c r="V10" i="8"/>
  <c r="U31" i="8" l="1"/>
  <c r="T34" i="11"/>
  <c r="U34" i="11"/>
  <c r="T35" i="11"/>
  <c r="U35" i="11"/>
  <c r="T29" i="11"/>
  <c r="U29" i="11"/>
  <c r="T43" i="11"/>
  <c r="U43" i="11"/>
  <c r="R13" i="13"/>
  <c r="S13" i="13"/>
  <c r="T44" i="11"/>
  <c r="U44" i="11"/>
  <c r="R14" i="13"/>
  <c r="S14" i="13"/>
  <c r="T36" i="11"/>
  <c r="U36" i="11"/>
  <c r="T31" i="11"/>
  <c r="U31" i="11"/>
  <c r="T32" i="11"/>
  <c r="U32" i="11"/>
  <c r="T33" i="11"/>
  <c r="U33" i="11"/>
  <c r="T42" i="11"/>
  <c r="U42" i="11"/>
  <c r="R12" i="13"/>
  <c r="S12" i="13"/>
  <c r="R10" i="13"/>
  <c r="S10" i="13"/>
  <c r="R11" i="13"/>
  <c r="S11" i="13"/>
  <c r="R9" i="13"/>
  <c r="S9" i="13"/>
  <c r="R8" i="13"/>
  <c r="S8" i="13"/>
  <c r="R7" i="13"/>
  <c r="S7" i="13"/>
  <c r="T47" i="11"/>
  <c r="U47" i="11"/>
  <c r="T30" i="11"/>
  <c r="U30" i="11"/>
  <c r="T22" i="11"/>
  <c r="U22" i="11"/>
  <c r="T21" i="11"/>
  <c r="U21" i="11"/>
  <c r="T20" i="11"/>
  <c r="U20" i="11"/>
  <c r="T19" i="11"/>
  <c r="U19" i="11"/>
  <c r="T18" i="11"/>
  <c r="U18" i="11"/>
  <c r="T17" i="11"/>
  <c r="U17" i="11"/>
  <c r="T11" i="11"/>
  <c r="U11" i="11"/>
  <c r="T10" i="11"/>
  <c r="U10" i="11"/>
  <c r="T9" i="11"/>
  <c r="U9" i="11"/>
  <c r="T8" i="11"/>
  <c r="U8" i="11"/>
  <c r="U7" i="11"/>
  <c r="T7" i="11"/>
  <c r="V44" i="8"/>
  <c r="V45" i="8" s="1"/>
  <c r="V39" i="8"/>
  <c r="V40" i="8" s="1"/>
  <c r="V32" i="8"/>
  <c r="V33" i="8" s="1"/>
  <c r="C23" i="5" s="1"/>
  <c r="V7" i="8"/>
  <c r="E15" i="13"/>
  <c r="C28" i="13" s="1"/>
  <c r="O31" i="8"/>
  <c r="O14" i="8"/>
  <c r="O13" i="8"/>
  <c r="O12" i="8"/>
  <c r="S15" i="13" l="1"/>
  <c r="C29" i="5" s="1"/>
  <c r="U72" i="11"/>
  <c r="U73" i="11" s="1"/>
  <c r="C28" i="5" s="1"/>
  <c r="U37" i="11"/>
  <c r="U38" i="11" s="1"/>
  <c r="C27" i="5" s="1"/>
  <c r="U23" i="11"/>
  <c r="U24" i="11" s="1"/>
  <c r="C26" i="5" s="1"/>
  <c r="U12" i="11"/>
  <c r="U13" i="11" s="1"/>
  <c r="C25" i="5" s="1"/>
  <c r="C24" i="5"/>
  <c r="V15" i="8"/>
  <c r="V16" i="8" s="1"/>
  <c r="C21" i="5" s="1"/>
  <c r="F43" i="8"/>
  <c r="F38" i="8"/>
  <c r="F30" i="8"/>
  <c r="F29" i="8"/>
  <c r="F27" i="8"/>
  <c r="F21" i="8"/>
  <c r="F14" i="8"/>
  <c r="U14" i="8" s="1"/>
  <c r="F13" i="8"/>
  <c r="U13" i="8" s="1"/>
  <c r="F12" i="8"/>
  <c r="U12" i="8" s="1"/>
  <c r="F11" i="8"/>
  <c r="G70" i="11"/>
  <c r="G69" i="11"/>
  <c r="G68" i="11"/>
  <c r="G62" i="11"/>
  <c r="G47" i="11"/>
  <c r="G44" i="11"/>
  <c r="G43" i="11"/>
  <c r="G42" i="11"/>
  <c r="G36" i="11"/>
  <c r="G35" i="11"/>
  <c r="G34" i="11"/>
  <c r="G33" i="11"/>
  <c r="G32" i="11"/>
  <c r="G31" i="11"/>
  <c r="G30" i="11"/>
  <c r="G29" i="11"/>
  <c r="G22" i="11"/>
  <c r="G21" i="11"/>
  <c r="G20" i="11"/>
  <c r="G19" i="11"/>
  <c r="G18" i="11"/>
  <c r="G17" i="11"/>
  <c r="G11" i="11"/>
  <c r="G10" i="11"/>
  <c r="G9" i="11"/>
  <c r="G8" i="11"/>
  <c r="G7" i="11"/>
  <c r="I20" i="10"/>
  <c r="G19" i="10"/>
  <c r="U27" i="8" l="1"/>
  <c r="O27" i="8"/>
  <c r="U43" i="8"/>
  <c r="O43" i="8"/>
  <c r="U7" i="8"/>
  <c r="O7" i="8"/>
  <c r="O29" i="8"/>
  <c r="U29" i="8"/>
  <c r="U10" i="8"/>
  <c r="O10" i="8"/>
  <c r="U30" i="8"/>
  <c r="O30" i="8"/>
  <c r="U11" i="8"/>
  <c r="O11" i="8"/>
  <c r="U21" i="8"/>
  <c r="O21" i="8"/>
  <c r="U38" i="8"/>
  <c r="O38" i="8"/>
  <c r="G37" i="11"/>
  <c r="G38" i="11" s="1"/>
  <c r="C26" i="13" s="1"/>
  <c r="G23" i="11"/>
  <c r="G24" i="11" s="1"/>
  <c r="C25" i="13" s="1"/>
  <c r="G12" i="11"/>
  <c r="G13" i="11" s="1"/>
  <c r="C24" i="13" s="1"/>
  <c r="G72" i="11"/>
  <c r="G73" i="11" s="1"/>
  <c r="C27" i="13" s="1"/>
  <c r="E41" i="9" l="1"/>
  <c r="E40" i="9"/>
  <c r="D35" i="9"/>
  <c r="D34" i="9"/>
  <c r="D33" i="9"/>
  <c r="E33" i="9" s="1"/>
  <c r="D28" i="9"/>
  <c r="E28" i="9" s="1"/>
  <c r="D27" i="9"/>
  <c r="E27" i="9" s="1"/>
  <c r="D26" i="9"/>
  <c r="E26" i="9" s="1"/>
  <c r="D21" i="9"/>
  <c r="E21" i="9" s="1"/>
  <c r="D20" i="9"/>
  <c r="E20" i="9" s="1"/>
  <c r="D19" i="9"/>
  <c r="E19" i="9" s="1"/>
  <c r="D18" i="9"/>
  <c r="E18" i="9" s="1"/>
  <c r="D17" i="9"/>
  <c r="E17" i="9" s="1"/>
  <c r="D16" i="9"/>
  <c r="E16" i="9" s="1"/>
  <c r="E35" i="9"/>
  <c r="E34" i="9"/>
  <c r="D11" i="9"/>
  <c r="E11" i="9" s="1"/>
  <c r="D10" i="9"/>
  <c r="E10" i="9" s="1"/>
  <c r="D9" i="9"/>
  <c r="E9" i="9" s="1"/>
  <c r="D8" i="9"/>
  <c r="E8" i="9" s="1"/>
  <c r="D7" i="9"/>
  <c r="E7" i="9" s="1"/>
  <c r="D6" i="9"/>
  <c r="E6" i="9" s="1"/>
  <c r="H43" i="8"/>
  <c r="H38" i="8"/>
  <c r="H27" i="8"/>
  <c r="H31" i="8"/>
  <c r="H30" i="8"/>
  <c r="H29" i="8"/>
  <c r="G21" i="8"/>
  <c r="V21" i="8" s="1"/>
  <c r="V22" i="8" s="1"/>
  <c r="V23" i="8" s="1"/>
  <c r="C22" i="5" s="1"/>
  <c r="C31" i="5" s="1"/>
  <c r="H10" i="8"/>
  <c r="H11" i="8"/>
  <c r="H12" i="8"/>
  <c r="H13" i="8"/>
  <c r="H14" i="8"/>
  <c r="E22" i="9" l="1"/>
  <c r="E42" i="9"/>
  <c r="E36" i="9"/>
  <c r="E29" i="9"/>
  <c r="E12" i="9"/>
  <c r="H44" i="8"/>
  <c r="H45" i="8" s="1"/>
  <c r="H39" i="8"/>
  <c r="H40" i="8" s="1"/>
  <c r="H32" i="8"/>
  <c r="H33" i="8" s="1"/>
  <c r="C22" i="13" s="1"/>
  <c r="H21" i="8"/>
  <c r="H22" i="8" s="1"/>
  <c r="H15" i="8"/>
  <c r="H16" i="8" s="1"/>
  <c r="C20" i="13" s="1"/>
  <c r="Q24" i="1"/>
  <c r="Q10" i="1"/>
  <c r="Q7" i="1"/>
  <c r="Q6" i="1"/>
  <c r="Q4" i="1"/>
  <c r="C23" i="13" l="1"/>
  <c r="H23" i="8"/>
  <c r="C21" i="13" s="1"/>
  <c r="C35" i="5"/>
  <c r="C36" i="5" s="1"/>
  <c r="C29" i="13" l="1"/>
  <c r="C37" i="5"/>
  <c r="E49" i="1" l="1"/>
  <c r="G49" i="1"/>
  <c r="S49" i="1"/>
  <c r="O49" i="1"/>
  <c r="M49" i="1"/>
  <c r="K49" i="1"/>
  <c r="I49" i="1"/>
  <c r="C49" i="1"/>
  <c r="S46" i="1" l="1"/>
  <c r="O46" i="1"/>
  <c r="S16" i="1"/>
  <c r="O16" i="1"/>
  <c r="S32" i="1"/>
  <c r="O32" i="1"/>
  <c r="O50" i="1" l="1"/>
  <c r="S50" i="1"/>
  <c r="U21" i="1" l="1"/>
  <c r="Q21" i="1"/>
  <c r="U22" i="1"/>
  <c r="Q22" i="1"/>
  <c r="Q31" i="1"/>
  <c r="U31" i="1"/>
  <c r="U48" i="1"/>
  <c r="U47" i="1"/>
  <c r="U49" i="1" s="1"/>
  <c r="Q48" i="1"/>
  <c r="Q47" i="1"/>
  <c r="U44" i="1"/>
  <c r="Q44" i="1"/>
  <c r="U39" i="1"/>
  <c r="Q39" i="1"/>
  <c r="U43" i="1"/>
  <c r="Q43" i="1"/>
  <c r="U41" i="1"/>
  <c r="Q41" i="1"/>
  <c r="U42" i="1"/>
  <c r="Q42" i="1"/>
  <c r="U37" i="1"/>
  <c r="Q37" i="1"/>
  <c r="U35" i="1"/>
  <c r="Q35" i="1"/>
  <c r="U34" i="1"/>
  <c r="Q34" i="1"/>
  <c r="U36" i="1"/>
  <c r="Q36" i="1"/>
  <c r="U45" i="1"/>
  <c r="Q45" i="1"/>
  <c r="U40" i="1"/>
  <c r="Q40" i="1"/>
  <c r="U14" i="1"/>
  <c r="Q14" i="1"/>
  <c r="U15" i="1"/>
  <c r="Q15" i="1"/>
  <c r="U13" i="1"/>
  <c r="U12" i="1"/>
  <c r="U11" i="1"/>
  <c r="U10" i="1"/>
  <c r="U9" i="1"/>
  <c r="U8" i="1"/>
  <c r="U7" i="1"/>
  <c r="U6" i="1"/>
  <c r="U5" i="1"/>
  <c r="U4" i="1"/>
  <c r="Q13" i="1"/>
  <c r="Q12" i="1"/>
  <c r="Q11" i="1"/>
  <c r="Q9" i="1"/>
  <c r="Q8" i="1"/>
  <c r="Q5" i="1"/>
  <c r="Q25" i="1"/>
  <c r="U29" i="1"/>
  <c r="Q29" i="1"/>
  <c r="U30" i="1"/>
  <c r="Q30" i="1"/>
  <c r="Q20" i="1"/>
  <c r="U28" i="1"/>
  <c r="U27" i="1"/>
  <c r="U26" i="1"/>
  <c r="U25" i="1"/>
  <c r="U24" i="1"/>
  <c r="U23" i="1"/>
  <c r="U20" i="1"/>
  <c r="Q23" i="1"/>
  <c r="U19" i="1"/>
  <c r="Q19" i="1"/>
  <c r="Q16" i="1" l="1"/>
  <c r="Q49" i="1"/>
  <c r="U16" i="1"/>
  <c r="Q46" i="1"/>
  <c r="Q32" i="1"/>
  <c r="U32" i="1"/>
  <c r="U46" i="1"/>
  <c r="Q50" i="1" l="1"/>
  <c r="U50" i="1"/>
  <c r="K46" i="1" l="1"/>
  <c r="G46" i="1"/>
  <c r="C46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K32" i="1"/>
  <c r="G32" i="1"/>
  <c r="C32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K16" i="1"/>
  <c r="G16" i="1"/>
  <c r="C16" i="1"/>
  <c r="M13" i="1"/>
  <c r="I13" i="1"/>
  <c r="E13" i="1"/>
  <c r="M12" i="1"/>
  <c r="I12" i="1"/>
  <c r="E12" i="1"/>
  <c r="M11" i="1"/>
  <c r="I11" i="1"/>
  <c r="E11" i="1"/>
  <c r="M10" i="1"/>
  <c r="I10" i="1"/>
  <c r="E10" i="1"/>
  <c r="M9" i="1"/>
  <c r="I9" i="1"/>
  <c r="E9" i="1"/>
  <c r="M8" i="1"/>
  <c r="I8" i="1"/>
  <c r="E8" i="1"/>
  <c r="M7" i="1"/>
  <c r="I7" i="1"/>
  <c r="E7" i="1"/>
  <c r="M6" i="1"/>
  <c r="I6" i="1"/>
  <c r="E6" i="1"/>
  <c r="M5" i="1"/>
  <c r="I5" i="1"/>
  <c r="E5" i="1"/>
  <c r="M4" i="1"/>
  <c r="I4" i="1"/>
  <c r="E4" i="1"/>
  <c r="K50" i="1" l="1"/>
  <c r="M46" i="1"/>
  <c r="C50" i="1"/>
  <c r="G50" i="1"/>
  <c r="I46" i="1"/>
  <c r="I32" i="1"/>
  <c r="M32" i="1"/>
  <c r="E16" i="1"/>
  <c r="I16" i="1"/>
  <c r="M16" i="1"/>
  <c r="E32" i="1"/>
  <c r="E46" i="1"/>
  <c r="E50" i="1" l="1"/>
  <c r="I50" i="1"/>
  <c r="M50" i="1"/>
  <c r="D35" i="5" l="1"/>
  <c r="D36" i="5" l="1"/>
  <c r="D37" i="5" s="1"/>
</calcChain>
</file>

<file path=xl/sharedStrings.xml><?xml version="1.0" encoding="utf-8"?>
<sst xmlns="http://schemas.openxmlformats.org/spreadsheetml/2006/main" count="1002" uniqueCount="418">
  <si>
    <t>סיווג לפי קבוצת מוצרים</t>
  </si>
  <si>
    <t>ריהוט</t>
  </si>
  <si>
    <t>מוצרי חשמל</t>
  </si>
  <si>
    <t>כלי בית</t>
  </si>
  <si>
    <t>תאור</t>
  </si>
  <si>
    <t>מספר דיירים</t>
  </si>
  <si>
    <t>עד 4</t>
  </si>
  <si>
    <t>מחירון והערות</t>
  </si>
  <si>
    <t>סוג הריהוט/ציוד</t>
  </si>
  <si>
    <t>עד 6</t>
  </si>
  <si>
    <t>מחיר בש"ח</t>
  </si>
  <si>
    <t>כמות</t>
  </si>
  <si>
    <t>עד 8</t>
  </si>
  <si>
    <t>עלות מקסימלית</t>
  </si>
  <si>
    <t>מיקרוגל</t>
  </si>
  <si>
    <t>עד 25 ליטר</t>
  </si>
  <si>
    <t>מעבד מזון</t>
  </si>
  <si>
    <t>נפח מיכל 1.5 ליטר</t>
  </si>
  <si>
    <t>600 ליטר</t>
  </si>
  <si>
    <t>700 ליטר</t>
  </si>
  <si>
    <t>פלטת חימום לשבת</t>
  </si>
  <si>
    <t>קומקום חשמלי</t>
  </si>
  <si>
    <t>תנור בישול ואפייה + כיריים גז</t>
  </si>
  <si>
    <t>מיחם חשמלי</t>
  </si>
  <si>
    <t>פינת אוכל</t>
  </si>
  <si>
    <t>שולחן + 4 כסאות</t>
  </si>
  <si>
    <t>שולחן + 6 כסאות</t>
  </si>
  <si>
    <t>שולחן + 8 כסאות</t>
  </si>
  <si>
    <t>שונות</t>
  </si>
  <si>
    <t>סה"כ מטבח</t>
  </si>
  <si>
    <t>סלון</t>
  </si>
  <si>
    <t xml:space="preserve">שידה לטלוויזיה </t>
  </si>
  <si>
    <t>D.V.D</t>
  </si>
  <si>
    <t>וילונות</t>
  </si>
  <si>
    <t>מערכת שמע</t>
  </si>
  <si>
    <t>מחשב + מדפסת + מסך + תוכנות ורשיון</t>
  </si>
  <si>
    <t>1+2+3</t>
  </si>
  <si>
    <t>1+2+3+3</t>
  </si>
  <si>
    <t>שולחן (קטן)</t>
  </si>
  <si>
    <t>מזנון/מדפים</t>
  </si>
  <si>
    <t>חפצי נוי לסלון</t>
  </si>
  <si>
    <t>סה"כ סלון</t>
  </si>
  <si>
    <t>מגהץ + קרש</t>
  </si>
  <si>
    <t>שואב אבק</t>
  </si>
  <si>
    <t>מכונת כביסה</t>
  </si>
  <si>
    <t>פתח קדמי, 6 ק"ג</t>
  </si>
  <si>
    <t>פתח קדמי, 7 ק"ג</t>
  </si>
  <si>
    <t xml:space="preserve">מתקנים ושירותים לאמבטיה </t>
  </si>
  <si>
    <t>כולל מראות, מחזיקי נייר טואלט, מתלים, פח לשירותים ומברשת, שטיחון אמבטיה ומשטח נגד החלקה</t>
  </si>
  <si>
    <t>ארגז כלי עבודה + סולם 4 שלבים</t>
  </si>
  <si>
    <t>ארון עזרה ראשונה קטן</t>
  </si>
  <si>
    <t>מטף 6 ק"ג</t>
  </si>
  <si>
    <t>תאורת חירום</t>
  </si>
  <si>
    <t>ציוד לשעת פנאי</t>
  </si>
  <si>
    <t>סה"כ ציוד נוסף</t>
  </si>
  <si>
    <t>סה"כ ריהוט וציוד נוסף (עבור לדירה בקהילה)</t>
  </si>
  <si>
    <t>כלי בישול אחסון הגשה וניקוי</t>
  </si>
  <si>
    <t>עד 16</t>
  </si>
  <si>
    <t>עד 24</t>
  </si>
  <si>
    <t>סיווג לפי מיקום</t>
  </si>
  <si>
    <t>סלון מרכזי</t>
  </si>
  <si>
    <t>מטבח מרכזי</t>
  </si>
  <si>
    <t>כורסאות ישיבה</t>
  </si>
  <si>
    <t>אביזרי נוי סלון מרכזי</t>
  </si>
  <si>
    <t>מדיח כלים תעשייתי</t>
  </si>
  <si>
    <t>שואב אבק מקצועי</t>
  </si>
  <si>
    <t>אביזרי נוי ואמבטיה ליחידה</t>
  </si>
  <si>
    <t>הצללה</t>
  </si>
  <si>
    <t>סה"כ ציוד חצר</t>
  </si>
  <si>
    <t>מזגן 3 כ"ס</t>
  </si>
  <si>
    <t>לפי מטר עד המכסה</t>
  </si>
  <si>
    <t>שולחן אוכל</t>
  </si>
  <si>
    <t>2 סט: שולחן+8 כסאות</t>
  </si>
  <si>
    <t>3 סט: שולחן+8 כסאות</t>
  </si>
  <si>
    <t>2 סטים של 1+2+3+3</t>
  </si>
  <si>
    <t>3 סטים של 1+2+3+3</t>
  </si>
  <si>
    <t>מקרר</t>
  </si>
  <si>
    <t>3 ליטר</t>
  </si>
  <si>
    <t>מקפיא</t>
  </si>
  <si>
    <t>מקרר תעשייתי ללא מקפיא 700 ליטר</t>
  </si>
  <si>
    <t>מקפיא בלבד 700 ליטר</t>
  </si>
  <si>
    <t>מקרר קטן לתרופות</t>
  </si>
  <si>
    <t>140 ליטר</t>
  </si>
  <si>
    <t>מייבש כביסה</t>
  </si>
  <si>
    <t>מכונת כביסה אחת תעשייתית</t>
  </si>
  <si>
    <t>מייבש כביסה אחד תעשייתי</t>
  </si>
  <si>
    <t>2 סטים</t>
  </si>
  <si>
    <t>3 סטים</t>
  </si>
  <si>
    <t>4 מטפים</t>
  </si>
  <si>
    <t>6 מטפים</t>
  </si>
  <si>
    <t>סט 1</t>
  </si>
  <si>
    <t>6 כורסאות</t>
  </si>
  <si>
    <t>9 כורסאות</t>
  </si>
  <si>
    <t>3 סטים של מחשב מדפסת מסך ואופיס</t>
  </si>
  <si>
    <t>5 סטים של מחשב מדפסת מסך ואופיס</t>
  </si>
  <si>
    <t>47 אינץ' לפחות</t>
  </si>
  <si>
    <t xml:space="preserve">מזגן </t>
  </si>
  <si>
    <t xml:space="preserve"> מזגן 1.7 כ"ס</t>
  </si>
  <si>
    <t>42 אינץ'</t>
  </si>
  <si>
    <t xml:space="preserve">טלוויזיה </t>
  </si>
  <si>
    <t xml:space="preserve"> מקס' 2 סטים</t>
  </si>
  <si>
    <t>חצר</t>
  </si>
  <si>
    <t>כמות מבוקשת</t>
  </si>
  <si>
    <t>הערות</t>
  </si>
  <si>
    <t>סטייה מהתקן</t>
  </si>
  <si>
    <t>-</t>
  </si>
  <si>
    <t>סה"כ</t>
  </si>
  <si>
    <t>קטגוריה</t>
  </si>
  <si>
    <t>מימון עצמי</t>
  </si>
  <si>
    <t xml:space="preserve">סכום מימון </t>
  </si>
  <si>
    <t>אחוז מימון</t>
  </si>
  <si>
    <t>גורם מממן</t>
  </si>
  <si>
    <t>בקשת הגוף</t>
  </si>
  <si>
    <t>כמות מאושרת</t>
  </si>
  <si>
    <t>סה"כ בקשה</t>
  </si>
  <si>
    <t>תאריך הגשת הבקשה:</t>
  </si>
  <si>
    <t>שם הגוף המבקש:</t>
  </si>
  <si>
    <t>איש קשר:</t>
  </si>
  <si>
    <t>מייל איש קשר:</t>
  </si>
  <si>
    <t>ח.פ. הגוף המבקש:</t>
  </si>
  <si>
    <t>דירוג אשכול סוציואקונומי:</t>
  </si>
  <si>
    <t>אחוז מימון מקסימלי לפי דירוג אשכול</t>
  </si>
  <si>
    <t>המלצת הרכז</t>
  </si>
  <si>
    <t>כתובת הגוף המבקש</t>
  </si>
  <si>
    <t>דירוג סוציואקונומי של הישוב: (לבחור)</t>
  </si>
  <si>
    <t>אחוז מימון מקסימלי-ביטוח לאומי</t>
  </si>
  <si>
    <t>מאשר</t>
  </si>
  <si>
    <t>רקע</t>
  </si>
  <si>
    <t>המוסד לביטוח לאומי מאשר סיוע ברכישת ציוד מגוון למפעלים למטרות שלהלן:</t>
  </si>
  <si>
    <t>הגדלת ההתנסות במגוון עבודות המותאמות לדרישות עולם העבודה.</t>
  </si>
  <si>
    <t>שיפור הגמול שמקבלים המשתקמים עבור ביצוע העבודה.</t>
  </si>
  <si>
    <t>שיפור תהליכים פנים מפעליים ושיפור תהליכי השיקום למטרת השמה בשוק העבודה.</t>
  </si>
  <si>
    <t xml:space="preserve">הציוד למפעלים לו מסייעת הקרן נחלק לשני סוגים: </t>
  </si>
  <si>
    <t>לתוך הסימולציה יש להכניס את הנתונים של: מספר משתקמים, שטח המפעל ושטח אזורי הצללה.</t>
  </si>
  <si>
    <t>סוגי מפעלים מוגנים</t>
  </si>
  <si>
    <t xml:space="preserve"> על בסיס ניתוח הממצאים הנחנו הנחות יסוד לחישוב תקן הציוד הבסיסי במפעלים מוגנים.</t>
  </si>
  <si>
    <t>להלן טבלת ריכוז ממצאים עיקריים והנחות יסוד:</t>
  </si>
  <si>
    <t>ממצאים ודגשים</t>
  </si>
  <si>
    <t>קיים ציוד בסיסי שמוגדר כציוד סטנדרטי הנדרש לפעילות השוטפת של המפעל (ניתן לראותו בכל סוגי המפעלים)</t>
  </si>
  <si>
    <t>ציוד/מכשור יעודי כאמצעי ייצור. מסופק בחלקו למפעלים ע"י הלקוחות בהשאלה.</t>
  </si>
  <si>
    <t xml:space="preserve"> התקן יחושב לפי פרמטר ייחוס שיוכפל במקדם על פי מאפייני הציוד.</t>
  </si>
  <si>
    <t>על פי התקן יוגדר תקציב לכל סוג של ציוד.</t>
  </si>
  <si>
    <t>המפעל יוכל לתכנן לעצמו איזה סוג ציוד הוא רוצה בתקציב שיתקבל.</t>
  </si>
  <si>
    <t>תקן ציוד בסיסי לחדר אוכל ולמטבח יתחלק לתקן לחדר אוכל ולמפעלים שיש מטבח תינתן המלצה גם לתקן ציוד למטבח מחמם.</t>
  </si>
  <si>
    <t>קימת שונות גדולה בכל נושא המחסנים. שונות זו נובעת מהסיבות הבאות: בחלק מהמפעלים אין אזור סגור של מחסן,  בחלק מהמפעלים אין מערכות אחסנה.</t>
  </si>
  <si>
    <t>באחריות לקוחות/מזמיני העבודה לשנע את חומרי הגלם למפעל ואת  התוצרת הגמורה מהמפעל החוצה.</t>
  </si>
  <si>
    <t>קיימת שונות בכמויות הציוד הבסיסי (במשפחות ציוד שונות) במפעלים שנבדקו, שונות זו נובעת כתוצאה משוני באופי העבודה ומתכנון של אמצעי הייצור בכל מפעל,לדוגמא: מפעל שמקצה שולחן וכסא לכל משתקם ויש מפעל שמקצה שולחן אחד לכל 3 משתקמים (שולחן במידות שונות).</t>
  </si>
  <si>
    <t>בכל המפעלים שנבדקו יש חדר אוכל, בחלק מהמפעלים קיים גם מטבח מחמם.</t>
  </si>
  <si>
    <t xml:space="preserve"> יחד עם זאת הקרן מכירה בכך שישנם אנשים אשר אינם מסוגלים לעבוד בשוק החופשי ולכן זקוקים להשמה במפעל מוגן כמסגרת תעסוקתית לטווח זמן ממושך או לפרק </t>
  </si>
  <si>
    <t>זמן קצר ומוגדר לצורך הקניית מיומנויות תעסוקתיות והכנה לקראת שילוב בעולם העבודה.</t>
  </si>
  <si>
    <t>תקן למפעל</t>
  </si>
  <si>
    <t>סוג ציוד</t>
  </si>
  <si>
    <t>תיאור הציוד</t>
  </si>
  <si>
    <t>יחידת מידה</t>
  </si>
  <si>
    <t>תקן ליחידה</t>
  </si>
  <si>
    <t>כסאות עבודה</t>
  </si>
  <si>
    <t>מעמד לכרטיסי נוכחות</t>
  </si>
  <si>
    <t>ארון אישי " לוקר"</t>
  </si>
  <si>
    <t>שולחנות חדר אוכל</t>
  </si>
  <si>
    <t>כסאות חדר אוכל</t>
  </si>
  <si>
    <t>כסא עבודה מרופד ,סטנדרטי מבנה מתכת</t>
  </si>
  <si>
    <t>מעמד אחד לכל 25 עובדים</t>
  </si>
  <si>
    <t xml:space="preserve">  כסא 1 למשתקם בהנחה שיש משמרת אחת במידה ויש 2 משמרות נדרש 50% מהכמות המחושבת הרגילה</t>
  </si>
  <si>
    <t xml:space="preserve">ארון לוקר - 16 תאים בארון אחד  (מתכת)   </t>
  </si>
  <si>
    <t xml:space="preserve">יח' </t>
  </si>
  <si>
    <t>אמצעי שינוע</t>
  </si>
  <si>
    <t>סוג אמצעי השינוע</t>
  </si>
  <si>
    <t>עגלת שינוע  יעודיות למפעל בייצור ע"פ מפרט</t>
  </si>
  <si>
    <t>מערכות אחסנה</t>
  </si>
  <si>
    <t>מערכות אחסנה מידוף</t>
  </si>
  <si>
    <t>מערכת אחסנה, קלה בינונית</t>
  </si>
  <si>
    <t>מ' רץ מדף אחסנה</t>
  </si>
  <si>
    <t>אמצעי עזר לייצור- מכונות וכלי עבודה</t>
  </si>
  <si>
    <t>תקן מדפים נדרש במטר רץ למפעל</t>
  </si>
  <si>
    <t>אמצעי עזר- מכונות</t>
  </si>
  <si>
    <t>משקל ספירה אלקטרוני עד 5 ק"ג</t>
  </si>
  <si>
    <t>משקל ספירה אלקטרוני עד 30 ק"ג</t>
  </si>
  <si>
    <t>מכונת שרינק + תנור</t>
  </si>
  <si>
    <t>מכונות שרינק ידניות</t>
  </si>
  <si>
    <t>מכשיר קשירת משטחים ידני,חצי אוטומטית</t>
  </si>
  <si>
    <t>ציוד</t>
  </si>
  <si>
    <t xml:space="preserve">מקדחה חשמלית - מקדחה STANLEY 850W 
</t>
  </si>
  <si>
    <t xml:space="preserve">מברגה חשמלית - מברגה נטענת GMC 18V 
</t>
  </si>
  <si>
    <t xml:space="preserve">מברג רגיל - סט כלים איכותי 42 חלקים STANLEY 62113
</t>
  </si>
  <si>
    <t xml:space="preserve">סט כלים - 46 יחידות  </t>
  </si>
  <si>
    <t xml:space="preserve">פלייר - פלייר/קאטר 090545 Signet
</t>
  </si>
  <si>
    <t xml:space="preserve">פטיש מקצועי 5 ק''''ג מבית Cados 
</t>
  </si>
  <si>
    <t>מחיר ליחידה כולל מע"מ</t>
  </si>
  <si>
    <t>עלות כוללת למפעל (כולל מע"מ)</t>
  </si>
  <si>
    <t>ציוד למטבח</t>
  </si>
  <si>
    <t>ציוד מטבח</t>
  </si>
  <si>
    <t>ציוד למטבח מחמם בלבד</t>
  </si>
  <si>
    <t>מקרר תעשיתי</t>
  </si>
  <si>
    <t>מיחם אוטומטי, 6 / 10 ליטר</t>
  </si>
  <si>
    <t>ארונות אחסנה  - ארון מדפים ,2 דלתות - ממתכת</t>
  </si>
  <si>
    <t>עגלת חימום למגשים (נירוסטה) - עגלת חימום / קרור</t>
  </si>
  <si>
    <t>כלי בישול, אוכל, והגשה לפי תקציב למטבח</t>
  </si>
  <si>
    <t>תקציב</t>
  </si>
  <si>
    <t>ריהוט חצר ופינות המתנה</t>
  </si>
  <si>
    <t>כמות למפעל</t>
  </si>
  <si>
    <t>ריהוט פינת המתנה</t>
  </si>
  <si>
    <t xml:space="preserve">שימשיה - שמשיה קוטר 3 מ' עגולה, </t>
  </si>
  <si>
    <t>כורסאות + שולחן המתנה</t>
  </si>
  <si>
    <t>סט</t>
  </si>
  <si>
    <t>הצללה לחלונות</t>
  </si>
  <si>
    <t>מ"ר</t>
  </si>
  <si>
    <t>סה"כ כמות נדרשת במ"ר</t>
  </si>
  <si>
    <t>תריס גלילה עם בד חסין אש - 1 מ"ר (כולל התקנה)</t>
  </si>
  <si>
    <t>ציוד שונות</t>
  </si>
  <si>
    <t>תמונות</t>
  </si>
  <si>
    <t>ארון תצוגה</t>
  </si>
  <si>
    <t>שעון נוכחות</t>
  </si>
  <si>
    <t>עיצוב פנים</t>
  </si>
  <si>
    <t xml:space="preserve">ציוד אבטחה ובטיחות </t>
  </si>
  <si>
    <t>ארון עץ בגודל של 2.0 מ' *1.8 מ' גובה עומק 0.4 מ'</t>
  </si>
  <si>
    <t xml:space="preserve">מחשב קומפלט כולל תוכנה , מדפסת משולבת , טלוויזיה 40" + מגן , DVD , ציוד הגברה , מצלמה דיגיטלית / מסרטה </t>
  </si>
  <si>
    <t>חושב לפי 5 תאי שירותים בממוצע במפעל - פח אשפה, סבונייה תלויה, מתקן מגבות נייר, מראה, מתקן ניקוי אסלה</t>
  </si>
  <si>
    <t xml:space="preserve">ציוד אחזקת מבנה כגון- סולם ארגז כלים לאחזקה , ציוד גינון </t>
  </si>
  <si>
    <t>מכונה לשטיפת ריצפה</t>
  </si>
  <si>
    <t>מערכת אבטחה במעגל סגור</t>
  </si>
  <si>
    <t>מערכת כריזת חירום</t>
  </si>
  <si>
    <t xml:space="preserve">תקציב </t>
  </si>
  <si>
    <t>עלות כוללת להצטידות בציוד בסיסי למפעל מוגן</t>
  </si>
  <si>
    <t>מחיר לפריט כולל מע"מ</t>
  </si>
  <si>
    <t>ציוד סניטריה ל 3 חדרי שירותים : נכים , נשים וגברים ( ממוצע 5 תאי שירותים)</t>
  </si>
  <si>
    <t>סך עלות כולל מע"מ</t>
  </si>
  <si>
    <t xml:space="preserve">מתקן נייר טואלט כפול </t>
  </si>
  <si>
    <t>פח אשפה</t>
  </si>
  <si>
    <t xml:space="preserve">סבונייה תלויה </t>
  </si>
  <si>
    <t>מתקן מגבות נייר</t>
  </si>
  <si>
    <t>מראה</t>
  </si>
  <si>
    <t>מתקן ניקוי אסלה</t>
  </si>
  <si>
    <t>כמות המשתקמים במפעל:</t>
  </si>
  <si>
    <t>שטח המפעל במ"ר:</t>
  </si>
  <si>
    <t>מחשבים וציוד מולטימדיה</t>
  </si>
  <si>
    <t>ציוד אחזקת המתחם</t>
  </si>
  <si>
    <t>ציוד עזרה ראשונה ומציל חיים</t>
  </si>
  <si>
    <t>שילוט</t>
  </si>
  <si>
    <t>מחשב קומפלט כולל תוכנה</t>
  </si>
  <si>
    <t xml:space="preserve">מדפסת משולבת </t>
  </si>
  <si>
    <t>טלוויזיה 40" + מגן</t>
  </si>
  <si>
    <t>DVD</t>
  </si>
  <si>
    <t>מערכת הגברה</t>
  </si>
  <si>
    <t xml:space="preserve">מצלמה דיגיטלית / מסרטה </t>
  </si>
  <si>
    <t>סולם</t>
  </si>
  <si>
    <t>ארגז כלים</t>
  </si>
  <si>
    <t xml:space="preserve">ציוד לתחזוקת חצר  וגינון </t>
  </si>
  <si>
    <t>דיפיבריליאטור</t>
  </si>
  <si>
    <t>תיק עזרה ראשונה</t>
  </si>
  <si>
    <t>ארון תרופות</t>
  </si>
  <si>
    <t>שילוט למפעל חיצוני</t>
  </si>
  <si>
    <t>שילוט פנימי -אזורי עבודה, מחסן, חדר אוכל ועוד</t>
  </si>
  <si>
    <t>טבלאות עזר לחישוב</t>
  </si>
  <si>
    <t>הקרן לפיתוח שירותים לנכים מעודדת  שילוב אנשים עם מוגבלויות בשוק העבודה  הפתוח  ומעודדת את קידום הקריירה המקצועית שלהם.</t>
  </si>
  <si>
    <t>המפעלים המוגנים הינם מסגרות מקדמות תעסוקה וככאלה עליהם לשקף את הנעשה בעולם העבודה הטבעי ולדמות את המתרחש בעולם העבודה מבחינת הדרישות ומבחינת</t>
  </si>
  <si>
    <t xml:space="preserve">סביבת העבודה. המפעלים נדרשים להכניס ציוד ומיכון מתקדמים לצורך פיתוח או שיפור קווים ותהליכי ייצור, לפיתוח שירותי שיקום, הכשרות או עסקים חברתיים ולפתח </t>
  </si>
  <si>
    <t xml:space="preserve"> תכניות המושתתות על מטרות עסקיות לצד מטרות שיקומיות.</t>
  </si>
  <si>
    <t xml:space="preserve"> המתבססים על ייצור עצמי.</t>
  </si>
  <si>
    <t>1. ריהוט וציוד בסיסי המפורט במסמך זה. ציוד זה הנו כללי ונדרש לצורך הפעלתו הבסיסית של המפעל.</t>
  </si>
  <si>
    <t xml:space="preserve">2. ציוד ייעודי ומקצועי הנדרש לפיתוח או לשדרוג קווי ייצור או תחנות עבודה כגון: מכונות אריזה וייצור, תוכנות מיוחדות ומכונות מיחזור. </t>
  </si>
  <si>
    <t xml:space="preserve">והמיוחדים של המפעלים . </t>
  </si>
  <si>
    <t>קיימים 2 סוגי מפעלים:</t>
  </si>
  <si>
    <t>2. מפעלים רב  נכותיים שבהם מועסקים אנשים עם  מוגבלויות שונות.</t>
  </si>
  <si>
    <t>1. מפעלים שבהם עובדת אוכלוסייה עם אפיון ספציפי, כגון: מע"ש שמיועד לאנשים עם מוגבלות שכלית התפתחותית.</t>
  </si>
  <si>
    <t xml:space="preserve">קיימים מס' סוגי תעסוקה: </t>
  </si>
  <si>
    <t>1. תעסוקה בעבודות ייצור כקבלנות משנה (הרכבות ידניות, ליקוט מוצרים ואריזתם).</t>
  </si>
  <si>
    <t xml:space="preserve">2. מפעלים שמבצעים פעולות ייצור מורכבות יותר המבוססות על מיכון תעשייתי מתקדם. כמו כן קיימים מפעלים המשלבים בין השניים.             </t>
  </si>
  <si>
    <t>לא מובן</t>
  </si>
  <si>
    <t xml:space="preserve">הבקשה תכלול את הפרטים הבאים:  </t>
  </si>
  <si>
    <t>יש לשאוף לניצול מקסימאלי של שטח המפעל ובהתאם לכך לתכנן את אחסון הציוד בצורה  הולמת מוגנת ושמורה. יש לשאוף לניצול יעיל ואפקטיבי של הציוד.</t>
  </si>
  <si>
    <t>יש לתת עדיפות לרכישת פריטים מתוצרת הארץ.</t>
  </si>
  <si>
    <t>התקן כולל עלויות הובלה והתקנת הציוד.</t>
  </si>
  <si>
    <t xml:space="preserve"> הציוד המבוקש צריך להיות מותאם למאפייני הפעילות במפעל ולאנשים המועסקים בפעילות היצרנית. </t>
  </si>
  <si>
    <t>בתכנון הרכש יש להתייחס לתקני איכות ובטיחות עדכניים.</t>
  </si>
  <si>
    <t>האם מצורפת תכנית עסקית?</t>
  </si>
  <si>
    <t>כתובת הגוף המבקש:</t>
  </si>
  <si>
    <t>שם המפעל:</t>
  </si>
  <si>
    <t>כתובת המפעל:</t>
  </si>
  <si>
    <t>סוג המפעל:</t>
  </si>
  <si>
    <t>למילוי ע"י הגוף- חובה</t>
  </si>
  <si>
    <t>במסגרת אבחון מצב קיים מופו כל סוגי הציוד הבסיסי של המפעלים, עובדו ונותחו הממצאים.</t>
  </si>
  <si>
    <t>תקן- ציוד ריהוט</t>
  </si>
  <si>
    <t>תקן- אמצעי שינוע</t>
  </si>
  <si>
    <t>שטח איזורי הצללה נדרשים במ"ר:</t>
  </si>
  <si>
    <t>תקן- מערכות אחסנה</t>
  </si>
  <si>
    <t>תקן- ריהוט חצר ופינות המתנה</t>
  </si>
  <si>
    <t>תקן- הצללה לחלונות- יש לבחור אחד מבין השניים:</t>
  </si>
  <si>
    <t>אפשרות א'- תריס ונציאני</t>
  </si>
  <si>
    <t>אפשרות ב'-תריס גלילה עם בד חסין אש</t>
  </si>
  <si>
    <t>תקן- אמצעי עזר לייצור- מכונות וכלי עבודה</t>
  </si>
  <si>
    <t>תקן- ציוד למטבח</t>
  </si>
  <si>
    <t>תקן- ציוד שונות</t>
  </si>
  <si>
    <t>חלק א</t>
  </si>
  <si>
    <t>חלק ב</t>
  </si>
  <si>
    <r>
      <t xml:space="preserve">ציוד מולטימדיה  כללי  </t>
    </r>
    <r>
      <rPr>
        <sz val="12"/>
        <color theme="1"/>
        <rFont val="Arial"/>
        <family val="2"/>
      </rPr>
      <t>⃰</t>
    </r>
  </si>
  <si>
    <r>
      <t xml:space="preserve">אביזרי סנטריה </t>
    </r>
    <r>
      <rPr>
        <sz val="12"/>
        <color theme="1"/>
        <rFont val="Arial"/>
        <family val="2"/>
      </rPr>
      <t>⃰</t>
    </r>
  </si>
  <si>
    <r>
      <t xml:space="preserve">ציוד עזרה ראשונה </t>
    </r>
    <r>
      <rPr>
        <sz val="12"/>
        <color theme="1"/>
        <rFont val="Arial"/>
        <family val="2"/>
      </rPr>
      <t>⃰</t>
    </r>
  </si>
  <si>
    <r>
      <t xml:space="preserve">שילוט פנים </t>
    </r>
    <r>
      <rPr>
        <sz val="12"/>
        <color theme="1"/>
        <rFont val="Arial"/>
        <family val="2"/>
      </rPr>
      <t>⃰</t>
    </r>
  </si>
  <si>
    <r>
      <t xml:space="preserve"> אחזקת מבנה </t>
    </r>
    <r>
      <rPr>
        <sz val="12"/>
        <color theme="1"/>
        <rFont val="Arial"/>
        <family val="2"/>
      </rPr>
      <t>⃰</t>
    </r>
  </si>
  <si>
    <t>תקן- כלי עבודה חשמליים וידניים</t>
  </si>
  <si>
    <t xml:space="preserve">פטיש טפסן חזק ידית פיבר מבית Klips  </t>
  </si>
  <si>
    <t>כמות מבוקשת במטר רץ</t>
  </si>
  <si>
    <t>כמות מבוקשת במ"ר</t>
  </si>
  <si>
    <t>יש למלא את התאים בצבע כתום בלבד</t>
  </si>
  <si>
    <t xml:space="preserve">מתקן שתיה - תמי 4, מי עדן </t>
  </si>
  <si>
    <t>חלק ג</t>
  </si>
  <si>
    <t>ציוד ריהוט</t>
  </si>
  <si>
    <t>סיכום כללי- לפי תקן</t>
  </si>
  <si>
    <t>סוג מפעל:</t>
  </si>
  <si>
    <t>כלי עבודה חשמלים וידניים</t>
  </si>
  <si>
    <t>שטח איזורי מידוף נדרשים במטר רץ:</t>
  </si>
  <si>
    <t>כמות קיימת</t>
  </si>
  <si>
    <t>ציוד קיים במפעל</t>
  </si>
  <si>
    <t>מצב הציוד וכשירותו- במידה וקיים נא לבחור את האפשרות המתאימה</t>
  </si>
  <si>
    <t>הובלה והתקנה עד 5%</t>
  </si>
  <si>
    <t>כמות קיימת במ"ר</t>
  </si>
  <si>
    <t>אביזרי סנטריה ⃰</t>
  </si>
  <si>
    <t>שילוט כגון: אולמות העבודה, חדר אוכל, מחסנים, שירותים ועוד</t>
  </si>
  <si>
    <t xml:space="preserve"> אחזקת מבנה ⃰</t>
  </si>
  <si>
    <t>הובלה-10% התקנה ובצ"מ -20%</t>
  </si>
  <si>
    <t>תקציב חד פעמי למעצב פנים</t>
  </si>
  <si>
    <t>סך עלות מאושרת</t>
  </si>
  <si>
    <t>כמות מאושרת במטר רץ</t>
  </si>
  <si>
    <t>כמות קיימת במטר רץ</t>
  </si>
  <si>
    <t>כמות מאושרת במ"ר</t>
  </si>
  <si>
    <t>סיכום בקשה להצטיידות - מפעלים מוגנים</t>
  </si>
  <si>
    <t>או שדרוג של קו ייצור קיים/שירותים (ציוד לתעסוקה).</t>
  </si>
  <si>
    <t xml:space="preserve">הבקשה לתכנית הצטיידות לציוד בסיסי למפעל מוגן (ציוד שבתקן הנ"ל) תוגש עפ"י רשימות הציוד שבתקן. </t>
  </si>
  <si>
    <t>ציוד בסיסי הוגדר כציוד סטנדרטי הנדרש לפעילות המפעלים.</t>
  </si>
  <si>
    <t>תוקנן ציוד המשמש לייצור, הרכבה ואריזה. לא תוקנן ציוד/מיכשור/מיכון יעודי למפעל.</t>
  </si>
  <si>
    <t xml:space="preserve">יש לעשות אבחנה בבקשת ההצטיידות בין ריהוט וציוד סטנדרטי הקיים בתקן לציוד בסיסי למפעלים מוגנים (ציוד כללי) , לבין ציוד ייעודי לפיתוח קו ייצור חדש </t>
  </si>
  <si>
    <t xml:space="preserve"> באחריות לקוחות, מזמיני העבודה במפעלים לספק חומרי גלם ולאסוף את התוצרת הגמורה, אחריות על השינוע הפריקה והעמסה היא ע"פ ההסכם בין המפעל ללקוח.</t>
  </si>
  <si>
    <t>תקן ציוד לחדרי אוכל ומטבחים – התקן נבנה לחדרי אוכל ולמטבח בנפרד. לכל מפעל יתוקנן הציוד על פי צרכים פונקציונלים ייחודיים.</t>
  </si>
  <si>
    <t xml:space="preserve">הוגדרו קבוצות ציוד  שונות שבהם התקציב לרכישת הציוד יהיה גלובלי. </t>
  </si>
  <si>
    <t xml:space="preserve">הקרן לפיתוח שירותים לנכים </t>
  </si>
  <si>
    <t>מטרת התקן</t>
  </si>
  <si>
    <t>יש להוסיף שורות לכל תחום, בהתאם לצורך</t>
  </si>
  <si>
    <t>יש לרשום את ההצעה הנמוכה יותר - בעמודה של הצעת מחיר א'</t>
  </si>
  <si>
    <t>תחום ייצור/תחום פעילות</t>
  </si>
  <si>
    <t>שם הציוד/הפריט</t>
  </si>
  <si>
    <t>תיאור הצורך בפריט/בציוד</t>
  </si>
  <si>
    <t>כמות פריטים/ציוד (מספר יחידות)</t>
  </si>
  <si>
    <t>הצעת מחיר א'- הזולה יותר  (ב - ₪ כולל מע"מ)</t>
  </si>
  <si>
    <t>הצעת מחיר ב' (ב - ₪, כולל מע"מ)</t>
  </si>
  <si>
    <t>א</t>
  </si>
  <si>
    <t>ב</t>
  </si>
  <si>
    <t>ג</t>
  </si>
  <si>
    <t>ד</t>
  </si>
  <si>
    <t>ה</t>
  </si>
  <si>
    <t>ו</t>
  </si>
  <si>
    <t>סה"כ בקשת ציוד יעודי</t>
  </si>
  <si>
    <t>טבלת ציוד יעודי- ציוד שלא לפי תקן</t>
  </si>
  <si>
    <t>ציוד יעודי</t>
  </si>
  <si>
    <t>הקרן גם מעודדת מפעלים מקדמי תעסוקה שהנם יצרניים ומכווני כדאיות כלכלית- כאלה החוברים לגופים פרטיים ומייצרים תעסוקה מגוונת ומאתגרת,  או כאלה</t>
  </si>
  <si>
    <r>
      <rPr>
        <b/>
        <sz val="12"/>
        <color theme="1"/>
        <rFont val="David"/>
        <family val="2"/>
      </rPr>
      <t>תקן זה עוסק בציוד בסיסי, הנדרש לצורך הפעלתו הבסיסית של המפעל</t>
    </r>
    <r>
      <rPr>
        <sz val="12"/>
        <color theme="1"/>
        <rFont val="David"/>
        <family val="2"/>
      </rPr>
      <t xml:space="preserve">, בנוסף </t>
    </r>
    <r>
      <rPr>
        <b/>
        <sz val="12"/>
        <color theme="1"/>
        <rFont val="David"/>
        <family val="2"/>
      </rPr>
      <t>מצורף גיליון של טבלת ציוד יעוד</t>
    </r>
    <r>
      <rPr>
        <sz val="12"/>
        <color theme="1"/>
        <rFont val="David"/>
        <family val="2"/>
      </rPr>
      <t xml:space="preserve">י שיש למלא במידה והמפעל נדרש בנוסף לתקן </t>
    </r>
    <r>
      <rPr>
        <sz val="12"/>
        <color rgb="FFFF0000"/>
        <rFont val="David"/>
        <family val="2"/>
      </rPr>
      <t xml:space="preserve">הבסיסי </t>
    </r>
    <r>
      <rPr>
        <sz val="12"/>
        <color theme="1"/>
        <rFont val="David"/>
        <family val="2"/>
      </rPr>
      <t>לרכוש ציוד יעודי.</t>
    </r>
  </si>
  <si>
    <t xml:space="preserve">התקן מבוסס על סיורים במגוון רחב של מפעלים מוגנים, עם בחינת סוגים שונים של תעסוקה במפעלים לאוכלוסיות שונות. זאת תוך לימוד והכרת הצרכים הרגילים </t>
  </si>
  <si>
    <t>2. הגדרת תחומי והיקף הסיוע של המוסד לביטוח לאומי עבור ציוד הנדרש למפעלים המוגנים.</t>
  </si>
  <si>
    <t xml:space="preserve">3. סיוע לאנשי מקצוע למקד את הצרכים בהתאמת ציוד בעת הקמת מפעל חדש, או בשדרוג מפעל קיים. </t>
  </si>
  <si>
    <t xml:space="preserve">4. ליצור אחידות בעלויות. </t>
  </si>
  <si>
    <t xml:space="preserve">5. קביעת מסגרת תקציבית בהתאם לגודל וסוג המפעל. </t>
  </si>
  <si>
    <t>ממצאים, דגשים והנחות יסוד עיקריות</t>
  </si>
  <si>
    <r>
      <t xml:space="preserve"> ב. פירוט הציוד הבסיסי </t>
    </r>
    <r>
      <rPr>
        <b/>
        <sz val="12"/>
        <color theme="1"/>
        <rFont val="David"/>
        <family val="2"/>
      </rPr>
      <t>המבוקש</t>
    </r>
    <r>
      <rPr>
        <sz val="12"/>
        <color theme="1"/>
        <rFont val="David"/>
        <family val="2"/>
      </rPr>
      <t xml:space="preserve"> על גבי טבלאות המצ"ב.</t>
    </r>
  </si>
  <si>
    <t>עפ"י המלצת תקינת מחסנים במפעלים שטח המחסן צריך להיות כ-18% משטח המפעל. התקינה תבוצע ע"פ שטח מחסן, בשטח זה יחושבו כמות מערכות האחסנה שניתן למקם/להציב, תוך שיקולי גובה המערכת, מעברים שיש להקצות וכד'. יקבע סך עלות למטר רץ מדפים של מחסן.</t>
  </si>
  <si>
    <t>ח.פ./ מס/ עמותה של הגוף המבקש:</t>
  </si>
  <si>
    <t>ספסל גן</t>
  </si>
  <si>
    <t>שולחן גן</t>
  </si>
  <si>
    <t>כסא גן</t>
  </si>
  <si>
    <t>שולחן אחד לכל עובד (שולחן אישי) במידה 75*100, כאפשרות, כולל מדף ותאורה</t>
  </si>
  <si>
    <t>מערכת התרעה נגד אש</t>
  </si>
  <si>
    <t>שעון קיר</t>
  </si>
  <si>
    <t>עגלת ניקיון</t>
  </si>
  <si>
    <t>לוח מודעות</t>
  </si>
  <si>
    <t xml:space="preserve">תנור בישול </t>
  </si>
  <si>
    <t xml:space="preserve">מצלמה דיגיטלית </t>
  </si>
  <si>
    <r>
      <t xml:space="preserve"> תקינת ציוד בסיסי למפעלים מקדמי תעסוקה - </t>
    </r>
    <r>
      <rPr>
        <b/>
        <u/>
        <sz val="14"/>
        <rFont val="David"/>
        <family val="2"/>
      </rPr>
      <t>דצמבר 2022</t>
    </r>
  </si>
  <si>
    <t>תקן זה נועד לפשט את תהליך הגשת הבקשות לקרן לסיוע במימון ציוד בסיסי כללי ולהשיג את המטרות הבאות:</t>
  </si>
  <si>
    <t>1. פיתוח או שדרוג  קווים ותהליכי ייצור ותחנות עבודה.</t>
  </si>
  <si>
    <t xml:space="preserve">התקן אינו כולל  ציוד ייעודי לתעסוקה, אשר יגובש על ידי כל מסגרת בנפרד ובהתאמה לצרכים ויפורט בגיליון (בלשונית) הציוד הייעודי.  </t>
  </si>
  <si>
    <t xml:space="preserve">הנחיות להגשת הבקשה: </t>
  </si>
  <si>
    <r>
      <t xml:space="preserve">הערה: במפעלים מוגנים, הבקשה תתייחס </t>
    </r>
    <r>
      <rPr>
        <b/>
        <u/>
        <sz val="12"/>
        <color theme="1"/>
        <rFont val="David"/>
        <family val="2"/>
      </rPr>
      <t>רק לתוספות הציוד הנדרשות</t>
    </r>
  </si>
  <si>
    <t xml:space="preserve">ברכישת הציוד יש להיצמד למחירים המופיעים בתקן. במידה ונדרש שינוי בכמויות של פריטי הציוד כפי שהוגדרו בתקן, יש לפרט ולהסביר את הנימוקים לכך.  </t>
  </si>
  <si>
    <t xml:space="preserve">במידה ונדרש  ציוד ייעודי אחר  (לדוגמא : מיכון מיוחד, אמצעי שינוע מיוחדים, מתקני ייצור שונים) למפעלים, יש למלא את הבקשה לציוד זה בלשונית "ציוד ייעודי" ויש לצרף 2 הצעות מחיר לכל אחד מסוגי הציוד. </t>
  </si>
  <si>
    <t>למפעלים מוגנים קיימת גמישות גבוהה לצורך  הערכות ב- LAY OUT (מערך מפעל) בסיסי, שמורכב מתחנות עבודה "פשוטות" (שולחן עבודה וכסא עבודה) .למערך זה יכולת וגמישות  לשינויים עפ"י סוגי העבודה שיש לבצע.</t>
  </si>
  <si>
    <t>פעילות הייצור מורכבת מעבודה שברובה עבודה ידנית. בחלק מהפעולות נדרש  ציוד עבודה  פשוט יחסית כגון: מכונות קשירת קרטונים, מכונות הלחמת ניילונים, משקלים אלקטרוניים שונים, מכונות הלחמה, מכונות שרינק.</t>
  </si>
  <si>
    <t>תקינת הציוד בוצעה עבור משפחות ציוד בסיסיות סטנדרטיות כגון: ריהוט אולמות ייצור, ריהוט וציוד חדרי אוכל ומטבחים, מיכשור בסיסי, אמצעי שינוע שמתאימים לביצוע פעילויות בסיסיות של הרכבה, אריזה וכד'.</t>
  </si>
  <si>
    <t>כמות מקבלי השירות במפעל:</t>
  </si>
  <si>
    <t>נספח הערות והנחות יסוד לבניית התקן</t>
  </si>
  <si>
    <t>טלפון נייד איש קשר:</t>
  </si>
  <si>
    <t>לפי 6 מקבלי שירות לשולחן חדר אוכל  סטנדרטי בהנחה שיש משמרת אחת, במידה ויש 2 משמרות נדרש 50% מהכמות המחושבת הרגילה</t>
  </si>
  <si>
    <t>סימולציה לתקן ציוד בסיסי למפעלים מוגנים דצמבר 2022</t>
  </si>
  <si>
    <t>מלגזה - חשמלית 2.5 טון</t>
  </si>
  <si>
    <t>מדיח כלים - דלת מתרוממת + מעמד</t>
  </si>
  <si>
    <r>
      <t xml:space="preserve">ציוד מולטימדיה  כללי  </t>
    </r>
    <r>
      <rPr>
        <sz val="12"/>
        <rFont val="Arial"/>
        <family val="2"/>
      </rPr>
      <t>⃰</t>
    </r>
  </si>
  <si>
    <t xml:space="preserve">סימולציה לתקן ציוד בסיסי למפעלים מוגנים דצמבר 2022 </t>
  </si>
  <si>
    <r>
      <t xml:space="preserve">א. </t>
    </r>
    <r>
      <rPr>
        <b/>
        <sz val="12"/>
        <color theme="1"/>
        <rFont val="David"/>
        <family val="2"/>
      </rPr>
      <t xml:space="preserve">רשימת הציוד הקיים, מצבו וכשירותו הנוכחיים. </t>
    </r>
  </si>
  <si>
    <r>
      <t xml:space="preserve">לא נדרש לתקנן מלגזות </t>
    </r>
    <r>
      <rPr>
        <b/>
        <sz val="12"/>
        <color theme="1"/>
        <rFont val="David"/>
        <family val="2"/>
      </rPr>
      <t>גדולות</t>
    </r>
    <r>
      <rPr>
        <sz val="12"/>
        <color theme="1"/>
        <rFont val="David"/>
        <family val="2"/>
      </rPr>
      <t xml:space="preserve"> לשינוע הציוד. אמצעי השינוע שנדרשים הינם אמצעי שינוע בסיסיים שנעים בתוך אולמות הייצור לצורך הבאת משטחי חומר גלם ולצורך הוצאת תוצרת גמורה לנקודת העמסה של המוביל.</t>
    </r>
  </si>
  <si>
    <t xml:space="preserve">(לפי חישוב של 20% משטח רצפה נדרש לחלונות/לפי שטח הצללה בפועל)    </t>
  </si>
  <si>
    <t>האם מצורפת רשימת הציוד הקיים, מצבו וכשירותו הנוכחיים?</t>
  </si>
  <si>
    <r>
      <t xml:space="preserve">שולחן ל - 2 עובדים כל שולחן במידה 100-120  - </t>
    </r>
    <r>
      <rPr>
        <b/>
        <sz val="12"/>
        <rFont val="David"/>
        <family val="2"/>
      </rPr>
      <t>או</t>
    </r>
    <r>
      <rPr>
        <sz val="12"/>
        <rFont val="David"/>
        <family val="2"/>
      </rPr>
      <t xml:space="preserve"> </t>
    </r>
  </si>
  <si>
    <r>
      <t xml:space="preserve">שולחן ל 4 עובדים פלטה במידה 120 * 160 ס"מ בציפוי פורמיקה עם פינות מעוגלות - </t>
    </r>
    <r>
      <rPr>
        <b/>
        <sz val="12"/>
        <rFont val="David"/>
        <family val="2"/>
      </rPr>
      <t>או</t>
    </r>
    <r>
      <rPr>
        <sz val="12"/>
        <rFont val="David"/>
        <family val="2"/>
      </rPr>
      <t xml:space="preserve"> </t>
    </r>
  </si>
  <si>
    <t>שולחנות עבודה (הערה: ניתן לשלב בין מספר סוגי שולחנות ובלבד שכמות השולחנות לא תעלה על הכמות בתקן המחושבת לפי מספר מקבלי השירות והמקומות בכל שולחן)</t>
  </si>
  <si>
    <t>עגלת משטחים הידראולית כושר הרמה – 2,500 ק"ג גלגל כפול אוקולון/פוליאוריטן</t>
  </si>
  <si>
    <t>עגלת משטחים חשמלית - עד 2 טון , מעצור אלקרו-מגנטי המותקן ישירות על ציר המנוע, מפסק עצירת חירום</t>
  </si>
  <si>
    <t>עגלה דו מצבית מקצועית מאלומיניום עד 350 ק"ג גלגלי גומי</t>
  </si>
  <si>
    <t xml:space="preserve"> מיקרוגל </t>
  </si>
  <si>
    <t>אזורים שיתכנו: כניסה , אולמות עבודה (*3),חדר אוכל סה"כ 5 אזורים בממוצע 3 תמונות לאזור לפי 15 תמונות</t>
  </si>
  <si>
    <t>מכונות הלחמת ניילון ידניות</t>
  </si>
  <si>
    <t>הערות:</t>
  </si>
  <si>
    <t xml:space="preserve">כל בקשה לציוד תוגש בגיליון (לשונית) נפרד, שיצורף לבקשה כולל סה"כ הבקשה . </t>
  </si>
  <si>
    <t>מלחם חשמלי/מלחם גז מקצועי עם הספקים משתנים</t>
  </si>
  <si>
    <t>ריהוט חצר + פינת עישון</t>
  </si>
  <si>
    <t>אישור מנהל התכנית</t>
  </si>
  <si>
    <t>סה"כ תקציב מאושר על ידי מנהל התכנית</t>
  </si>
  <si>
    <t>סך עלות מבוקשת</t>
  </si>
  <si>
    <t>סה"כ עלות לפי ההצעה הזולה (ב - ₪, כולל מע"מ)</t>
  </si>
  <si>
    <t>תריס ונציאני אלומיניום 25 מ"מ , עפ"י כמות החלונות שנדרש להצללה 1 חלון שווה 1 מ"ר הצללה</t>
  </si>
  <si>
    <t>סך עלות מאושרת כולל מע"מ</t>
  </si>
  <si>
    <r>
      <t xml:space="preserve">סך עלות </t>
    </r>
    <r>
      <rPr>
        <b/>
        <u/>
        <sz val="12"/>
        <color theme="1"/>
        <rFont val="Arial"/>
        <family val="2"/>
        <scheme val="minor"/>
      </rPr>
      <t>מבוקשת</t>
    </r>
    <r>
      <rPr>
        <b/>
        <sz val="12"/>
        <color theme="1"/>
        <rFont val="Arial"/>
        <family val="2"/>
        <scheme val="minor"/>
      </rPr>
      <t xml:space="preserve"> כולל מע"מ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</si>
</sst>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&quot;₪&quot;\ #,##0"/>
    <numFmt numFmtId="165" formatCode="_ * #,##0_ ;_ * \-#,##0_ ;_ * &quot;-&quot;??_ ;_ @_ "/>
    <numFmt numFmtId="166" formatCode="&quot;₪&quot;\ #,##0.00"/>
    <numFmt numFmtId="167" formatCode="0.0%"/>
    <numFmt numFmtId="168" formatCode="_ * #,##0.0_ ;_ * \-#,##0.0_ ;_ * &quot;-&quot;??_ ;_ @_ "/>
  </numFmts>
  <fonts count="4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sz val="10"/>
      <color theme="1"/>
      <name val="David"/>
      <family val="2"/>
      <charset val="177"/>
    </font>
    <font>
      <b/>
      <sz val="10"/>
      <color theme="1"/>
      <name val="David"/>
      <family val="2"/>
      <charset val="177"/>
    </font>
    <font>
      <b/>
      <sz val="10"/>
      <color theme="1"/>
      <name val="Arial"/>
      <family val="2"/>
      <scheme val="minor"/>
    </font>
    <font>
      <b/>
      <sz val="10"/>
      <color rgb="FF000000"/>
      <name val="David"/>
      <family val="2"/>
      <charset val="177"/>
    </font>
    <font>
      <b/>
      <sz val="11"/>
      <color theme="1"/>
      <name val="David"/>
      <family val="2"/>
    </font>
    <font>
      <b/>
      <sz val="12"/>
      <color theme="1"/>
      <name val="David"/>
      <family val="2"/>
    </font>
    <font>
      <sz val="8"/>
      <color theme="1"/>
      <name val="David"/>
      <family val="2"/>
      <charset val="177"/>
    </font>
    <font>
      <u/>
      <sz val="11"/>
      <color theme="10"/>
      <name val="Arial"/>
      <family val="2"/>
      <charset val="177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0"/>
      <color theme="1"/>
      <name val="David"/>
      <family val="2"/>
    </font>
    <font>
      <b/>
      <sz val="16"/>
      <color theme="1"/>
      <name val="David"/>
      <family val="2"/>
    </font>
    <font>
      <sz val="11"/>
      <color theme="1"/>
      <name val="David"/>
      <family val="2"/>
    </font>
    <font>
      <sz val="16"/>
      <color theme="1"/>
      <name val="David"/>
      <family val="2"/>
    </font>
    <font>
      <b/>
      <sz val="14"/>
      <color theme="1"/>
      <name val="David"/>
      <family val="2"/>
      <charset val="177"/>
    </font>
    <font>
      <sz val="12"/>
      <color theme="1"/>
      <name val="David"/>
      <family val="2"/>
    </font>
    <font>
      <sz val="12"/>
      <color theme="1"/>
      <name val="Arial"/>
      <family val="2"/>
    </font>
    <font>
      <sz val="14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b/>
      <u/>
      <sz val="12"/>
      <color theme="1"/>
      <name val="David"/>
      <family val="2"/>
    </font>
    <font>
      <u/>
      <sz val="12"/>
      <color theme="1"/>
      <name val="David"/>
      <family val="2"/>
    </font>
    <font>
      <sz val="12"/>
      <color rgb="FFFF0000"/>
      <name val="David"/>
      <family val="2"/>
    </font>
    <font>
      <b/>
      <u/>
      <sz val="12"/>
      <name val="David"/>
      <family val="2"/>
    </font>
    <font>
      <b/>
      <u/>
      <sz val="14"/>
      <name val="David"/>
      <family val="2"/>
    </font>
    <font>
      <sz val="12"/>
      <name val="David"/>
      <family val="2"/>
    </font>
    <font>
      <b/>
      <sz val="12"/>
      <name val="David"/>
      <family val="2"/>
    </font>
    <font>
      <b/>
      <sz val="16"/>
      <name val="David"/>
      <family val="2"/>
    </font>
    <font>
      <sz val="12"/>
      <name val="David"/>
      <family val="2"/>
      <charset val="177"/>
    </font>
    <font>
      <sz val="12"/>
      <name val="Arial"/>
      <family val="2"/>
    </font>
    <font>
      <b/>
      <u/>
      <sz val="12"/>
      <color rgb="FF000000"/>
      <name val="David"/>
      <family val="2"/>
    </font>
    <font>
      <sz val="12"/>
      <color rgb="FF000000"/>
      <name val="David"/>
      <family val="2"/>
    </font>
    <font>
      <b/>
      <sz val="12"/>
      <name val="David"/>
      <family val="2"/>
      <charset val="177"/>
    </font>
    <font>
      <sz val="12"/>
      <color theme="1"/>
      <name val="Times New Roman"/>
      <family val="1"/>
      <charset val="177"/>
    </font>
    <font>
      <sz val="8"/>
      <name val="Arial"/>
      <family val="2"/>
      <charset val="177"/>
      <scheme val="minor"/>
    </font>
    <font>
      <b/>
      <sz val="16"/>
      <name val="David"/>
      <family val="2"/>
      <charset val="177"/>
    </font>
    <font>
      <b/>
      <sz val="18"/>
      <name val="David"/>
      <family val="2"/>
    </font>
    <font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</cellStyleXfs>
  <cellXfs count="397">
    <xf numFmtId="0" fontId="0" fillId="0" borderId="0" xfId="0"/>
    <xf numFmtId="0" fontId="1" fillId="0" borderId="0" xfId="0" applyFont="1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wrapText="1" readingOrder="2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1" fontId="3" fillId="2" borderId="1" xfId="0" applyNumberFormat="1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right" wrapText="1" readingOrder="2"/>
    </xf>
    <xf numFmtId="164" fontId="4" fillId="4" borderId="1" xfId="0" applyNumberFormat="1" applyFont="1" applyFill="1" applyBorder="1" applyAlignment="1">
      <alignment horizontal="center" vertical="center" wrapText="1" readingOrder="1"/>
    </xf>
    <xf numFmtId="1" fontId="4" fillId="4" borderId="1" xfId="0" applyNumberFormat="1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wrapText="1" readingOrder="2"/>
    </xf>
    <xf numFmtId="1" fontId="4" fillId="2" borderId="1" xfId="0" applyNumberFormat="1" applyFont="1" applyFill="1" applyBorder="1" applyAlignment="1">
      <alignment wrapText="1" readingOrder="2"/>
    </xf>
    <xf numFmtId="0" fontId="3" fillId="0" borderId="1" xfId="0" applyFont="1" applyBorder="1" applyAlignment="1">
      <alignment horizontal="center" vertical="center" wrapText="1" readingOrder="2"/>
    </xf>
    <xf numFmtId="164" fontId="3" fillId="0" borderId="1" xfId="0" applyNumberFormat="1" applyFont="1" applyBorder="1" applyAlignment="1">
      <alignment horizontal="center" vertical="center" wrapText="1" readingOrder="1"/>
    </xf>
    <xf numFmtId="1" fontId="3" fillId="0" borderId="1" xfId="0" applyNumberFormat="1" applyFont="1" applyBorder="1" applyAlignment="1">
      <alignment horizontal="center" vertical="center" wrapText="1" readingOrder="1"/>
    </xf>
    <xf numFmtId="49" fontId="3" fillId="0" borderId="1" xfId="0" applyNumberFormat="1" applyFont="1" applyBorder="1" applyAlignment="1">
      <alignment horizontal="center" vertical="center" wrapText="1" readingOrder="2"/>
    </xf>
    <xf numFmtId="0" fontId="6" fillId="4" borderId="1" xfId="0" applyFont="1" applyFill="1" applyBorder="1" applyAlignment="1">
      <alignment horizontal="center" wrapText="1" readingOrder="2"/>
    </xf>
    <xf numFmtId="164" fontId="6" fillId="4" borderId="1" xfId="0" applyNumberFormat="1" applyFont="1" applyFill="1" applyBorder="1" applyAlignment="1">
      <alignment horizontal="center" vertical="center" wrapText="1" readingOrder="1"/>
    </xf>
    <xf numFmtId="1" fontId="6" fillId="4" borderId="1" xfId="0" applyNumberFormat="1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wrapText="1" readingOrder="2"/>
    </xf>
    <xf numFmtId="0" fontId="4" fillId="5" borderId="1" xfId="0" applyFont="1" applyFill="1" applyBorder="1" applyAlignment="1">
      <alignment horizontal="center" vertical="center" wrapText="1" readingOrder="2"/>
    </xf>
    <xf numFmtId="0" fontId="4" fillId="5" borderId="3" xfId="0" applyFont="1" applyFill="1" applyBorder="1" applyAlignment="1">
      <alignment vertical="center" wrapText="1" readingOrder="2"/>
    </xf>
    <xf numFmtId="0" fontId="4" fillId="5" borderId="2" xfId="0" applyFont="1" applyFill="1" applyBorder="1" applyAlignment="1">
      <alignment vertical="center" wrapText="1" readingOrder="2"/>
    </xf>
    <xf numFmtId="0" fontId="4" fillId="5" borderId="6" xfId="0" applyFont="1" applyFill="1" applyBorder="1" applyAlignment="1">
      <alignment horizontal="center" vertical="center" wrapText="1" readingOrder="2"/>
    </xf>
    <xf numFmtId="0" fontId="3" fillId="5" borderId="2" xfId="0" applyFont="1" applyFill="1" applyBorder="1" applyAlignment="1">
      <alignment horizontal="center" vertical="center" wrapText="1" readingOrder="2"/>
    </xf>
    <xf numFmtId="164" fontId="3" fillId="2" borderId="6" xfId="0" applyNumberFormat="1" applyFont="1" applyFill="1" applyBorder="1" applyAlignment="1">
      <alignment horizontal="center" vertical="center" wrapText="1" readingOrder="1"/>
    </xf>
    <xf numFmtId="0" fontId="3" fillId="5" borderId="2" xfId="0" applyFont="1" applyFill="1" applyBorder="1" applyAlignment="1">
      <alignment horizontal="right" vertical="center" wrapText="1" readingOrder="2"/>
    </xf>
    <xf numFmtId="0" fontId="4" fillId="4" borderId="2" xfId="0" applyFont="1" applyFill="1" applyBorder="1" applyAlignment="1">
      <alignment horizontal="right" vertical="center" wrapText="1" readingOrder="2"/>
    </xf>
    <xf numFmtId="0" fontId="4" fillId="2" borderId="2" xfId="0" applyFont="1" applyFill="1" applyBorder="1" applyAlignment="1">
      <alignment wrapText="1" readingOrder="2"/>
    </xf>
    <xf numFmtId="0" fontId="4" fillId="2" borderId="6" xfId="0" applyFont="1" applyFill="1" applyBorder="1" applyAlignment="1">
      <alignment wrapText="1" readingOrder="2"/>
    </xf>
    <xf numFmtId="0" fontId="2" fillId="5" borderId="2" xfId="0" applyFont="1" applyFill="1" applyBorder="1" applyAlignment="1">
      <alignment horizontal="right" vertical="center" wrapText="1" readingOrder="2"/>
    </xf>
    <xf numFmtId="0" fontId="3" fillId="5" borderId="2" xfId="0" applyFont="1" applyFill="1" applyBorder="1" applyAlignment="1">
      <alignment vertical="center" wrapText="1" readingOrder="2"/>
    </xf>
    <xf numFmtId="0" fontId="4" fillId="4" borderId="2" xfId="0" applyFont="1" applyFill="1" applyBorder="1" applyAlignment="1">
      <alignment vertical="center" wrapText="1" readingOrder="2"/>
    </xf>
    <xf numFmtId="0" fontId="3" fillId="5" borderId="2" xfId="0" applyFont="1" applyFill="1" applyBorder="1" applyAlignment="1">
      <alignment horizontal="right" wrapText="1" readingOrder="2"/>
    </xf>
    <xf numFmtId="0" fontId="6" fillId="4" borderId="2" xfId="0" applyFont="1" applyFill="1" applyBorder="1" applyAlignment="1">
      <alignment horizontal="right" vertical="center" wrapText="1" readingOrder="2"/>
    </xf>
    <xf numFmtId="0" fontId="6" fillId="6" borderId="7" xfId="0" applyFont="1" applyFill="1" applyBorder="1" applyAlignment="1">
      <alignment vertical="center" wrapText="1" readingOrder="2"/>
    </xf>
    <xf numFmtId="0" fontId="6" fillId="6" borderId="8" xfId="0" applyFont="1" applyFill="1" applyBorder="1" applyAlignment="1">
      <alignment vertical="center" wrapText="1" readingOrder="2"/>
    </xf>
    <xf numFmtId="164" fontId="6" fillId="6" borderId="8" xfId="0" applyNumberFormat="1" applyFont="1" applyFill="1" applyBorder="1" applyAlignment="1">
      <alignment horizontal="center" vertical="center" wrapText="1" readingOrder="1"/>
    </xf>
    <xf numFmtId="1" fontId="6" fillId="6" borderId="8" xfId="0" applyNumberFormat="1" applyFont="1" applyFill="1" applyBorder="1" applyAlignment="1">
      <alignment horizontal="center" vertical="center" wrapText="1" readingOrder="1"/>
    </xf>
    <xf numFmtId="0" fontId="6" fillId="6" borderId="8" xfId="0" applyFont="1" applyFill="1" applyBorder="1" applyAlignment="1">
      <alignment horizontal="right" wrapText="1" readingOrder="2"/>
    </xf>
    <xf numFmtId="0" fontId="13" fillId="0" borderId="0" xfId="0" applyFont="1" applyAlignment="1">
      <alignment readingOrder="2"/>
    </xf>
    <xf numFmtId="164" fontId="4" fillId="4" borderId="6" xfId="0" applyNumberFormat="1" applyFont="1" applyFill="1" applyBorder="1" applyAlignment="1">
      <alignment horizontal="center" vertical="center" wrapText="1" readingOrder="1"/>
    </xf>
    <xf numFmtId="164" fontId="6" fillId="4" borderId="6" xfId="0" applyNumberFormat="1" applyFont="1" applyFill="1" applyBorder="1" applyAlignment="1">
      <alignment horizontal="center" vertical="center" wrapText="1" readingOrder="1"/>
    </xf>
    <xf numFmtId="164" fontId="6" fillId="6" borderId="9" xfId="0" applyNumberFormat="1" applyFont="1" applyFill="1" applyBorder="1" applyAlignment="1">
      <alignment horizontal="center" vertical="center" wrapText="1" readingOrder="1"/>
    </xf>
    <xf numFmtId="0" fontId="11" fillId="0" borderId="0" xfId="0" applyFont="1"/>
    <xf numFmtId="0" fontId="15" fillId="0" borderId="0" xfId="0" applyFont="1"/>
    <xf numFmtId="0" fontId="7" fillId="0" borderId="0" xfId="0" applyFont="1"/>
    <xf numFmtId="0" fontId="18" fillId="0" borderId="1" xfId="0" applyFont="1" applyBorder="1" applyAlignment="1">
      <alignment vertical="center"/>
    </xf>
    <xf numFmtId="0" fontId="18" fillId="0" borderId="1" xfId="0" applyFont="1" applyBorder="1"/>
    <xf numFmtId="166" fontId="18" fillId="0" borderId="1" xfId="2" applyNumberFormat="1" applyFont="1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4" fillId="0" borderId="0" xfId="0" applyFont="1"/>
    <xf numFmtId="0" fontId="18" fillId="0" borderId="1" xfId="0" applyFont="1" applyBorder="1" applyAlignment="1">
      <alignment horizontal="right" vertical="center"/>
    </xf>
    <xf numFmtId="166" fontId="8" fillId="6" borderId="1" xfId="2" applyNumberFormat="1" applyFont="1" applyFill="1" applyBorder="1"/>
    <xf numFmtId="0" fontId="18" fillId="2" borderId="0" xfId="0" applyFont="1" applyFill="1" applyAlignment="1">
      <alignment vertical="center" wrapText="1" readingOrder="2"/>
    </xf>
    <xf numFmtId="0" fontId="18" fillId="2" borderId="14" xfId="0" applyFont="1" applyFill="1" applyBorder="1" applyAlignment="1">
      <alignment vertical="center" wrapText="1" readingOrder="2"/>
    </xf>
    <xf numFmtId="0" fontId="18" fillId="2" borderId="0" xfId="0" applyFont="1" applyFill="1" applyAlignment="1">
      <alignment wrapText="1" readingOrder="2"/>
    </xf>
    <xf numFmtId="0" fontId="18" fillId="2" borderId="14" xfId="0" applyFont="1" applyFill="1" applyBorder="1" applyAlignment="1">
      <alignment wrapText="1" readingOrder="2"/>
    </xf>
    <xf numFmtId="0" fontId="8" fillId="2" borderId="0" xfId="0" applyFont="1" applyFill="1" applyAlignment="1">
      <alignment horizontal="right" readingOrder="2"/>
    </xf>
    <xf numFmtId="0" fontId="8" fillId="3" borderId="6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165" fontId="18" fillId="8" borderId="1" xfId="2" applyNumberFormat="1" applyFont="1" applyFill="1" applyBorder="1" applyProtection="1">
      <protection locked="0"/>
    </xf>
    <xf numFmtId="9" fontId="18" fillId="0" borderId="1" xfId="0" applyNumberFormat="1" applyFont="1" applyBorder="1"/>
    <xf numFmtId="165" fontId="18" fillId="0" borderId="1" xfId="2" applyNumberFormat="1" applyFont="1" applyFill="1" applyBorder="1" applyProtection="1">
      <protection locked="0"/>
    </xf>
    <xf numFmtId="0" fontId="17" fillId="3" borderId="1" xfId="0" applyFont="1" applyFill="1" applyBorder="1" applyAlignment="1">
      <alignment horizontal="center" vertical="center" wrapText="1"/>
    </xf>
    <xf numFmtId="43" fontId="17" fillId="3" borderId="1" xfId="2" applyFont="1" applyFill="1" applyBorder="1" applyAlignment="1" applyProtection="1">
      <alignment horizontal="center" vertical="center" wrapText="1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6" fillId="8" borderId="0" xfId="0" applyFont="1" applyFill="1" applyProtection="1">
      <protection locked="0"/>
    </xf>
    <xf numFmtId="0" fontId="15" fillId="8" borderId="0" xfId="0" applyFont="1" applyFill="1" applyProtection="1">
      <protection locked="0"/>
    </xf>
    <xf numFmtId="0" fontId="18" fillId="0" borderId="0" xfId="0" applyFont="1" applyProtection="1">
      <protection locked="0"/>
    </xf>
    <xf numFmtId="9" fontId="18" fillId="8" borderId="1" xfId="0" applyNumberFormat="1" applyFont="1" applyFill="1" applyBorder="1" applyProtection="1">
      <protection locked="0"/>
    </xf>
    <xf numFmtId="0" fontId="18" fillId="0" borderId="1" xfId="0" applyFont="1" applyBorder="1" applyProtection="1">
      <protection locked="0"/>
    </xf>
    <xf numFmtId="0" fontId="18" fillId="0" borderId="6" xfId="0" applyFont="1" applyBorder="1" applyProtection="1">
      <protection locked="0"/>
    </xf>
    <xf numFmtId="166" fontId="18" fillId="0" borderId="1" xfId="2" applyNumberFormat="1" applyFont="1" applyBorder="1" applyProtection="1"/>
    <xf numFmtId="166" fontId="8" fillId="6" borderId="8" xfId="0" applyNumberFormat="1" applyFont="1" applyFill="1" applyBorder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Protection="1">
      <protection locked="0"/>
    </xf>
    <xf numFmtId="0" fontId="18" fillId="0" borderId="8" xfId="0" applyFont="1" applyBorder="1" applyProtection="1">
      <protection locked="0"/>
    </xf>
    <xf numFmtId="0" fontId="18" fillId="0" borderId="34" xfId="0" applyFont="1" applyBorder="1" applyProtection="1">
      <protection locked="0"/>
    </xf>
    <xf numFmtId="0" fontId="18" fillId="0" borderId="9" xfId="0" applyFont="1" applyBorder="1" applyProtection="1">
      <protection locked="0"/>
    </xf>
    <xf numFmtId="166" fontId="18" fillId="0" borderId="25" xfId="0" applyNumberFormat="1" applyFont="1" applyBorder="1"/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20" fillId="0" borderId="1" xfId="0" applyFont="1" applyBorder="1"/>
    <xf numFmtId="0" fontId="18" fillId="0" borderId="0" xfId="0" applyFont="1" applyAlignment="1" applyProtection="1">
      <alignment horizontal="right" readingOrder="2"/>
      <protection locked="0"/>
    </xf>
    <xf numFmtId="0" fontId="23" fillId="0" borderId="0" xfId="1" applyFont="1" applyFill="1" applyBorder="1" applyAlignment="1" applyProtection="1">
      <alignment horizontal="center"/>
    </xf>
    <xf numFmtId="0" fontId="8" fillId="2" borderId="0" xfId="0" applyFont="1" applyFill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0" xfId="0" applyFont="1" applyFill="1" applyAlignment="1">
      <alignment readingOrder="2"/>
    </xf>
    <xf numFmtId="0" fontId="8" fillId="2" borderId="14" xfId="0" applyFont="1" applyFill="1" applyBorder="1"/>
    <xf numFmtId="0" fontId="8" fillId="2" borderId="0" xfId="0" applyFont="1" applyFill="1" applyAlignment="1">
      <alignment vertical="center" readingOrder="2"/>
    </xf>
    <xf numFmtId="0" fontId="8" fillId="2" borderId="0" xfId="0" applyFont="1" applyFill="1" applyAlignment="1">
      <alignment horizontal="right" vertical="center" readingOrder="2"/>
    </xf>
    <xf numFmtId="0" fontId="18" fillId="2" borderId="13" xfId="0" applyFont="1" applyFill="1" applyBorder="1"/>
    <xf numFmtId="0" fontId="18" fillId="2" borderId="0" xfId="0" applyFont="1" applyFill="1" applyAlignment="1">
      <alignment horizontal="right" wrapText="1"/>
    </xf>
    <xf numFmtId="0" fontId="18" fillId="2" borderId="0" xfId="0" applyFont="1" applyFill="1" applyAlignment="1">
      <alignment wrapText="1"/>
    </xf>
    <xf numFmtId="0" fontId="18" fillId="2" borderId="0" xfId="0" applyFont="1" applyFill="1"/>
    <xf numFmtId="0" fontId="18" fillId="2" borderId="14" xfId="0" applyFont="1" applyFill="1" applyBorder="1"/>
    <xf numFmtId="0" fontId="24" fillId="2" borderId="13" xfId="0" applyFont="1" applyFill="1" applyBorder="1"/>
    <xf numFmtId="0" fontId="18" fillId="2" borderId="13" xfId="0" applyFont="1" applyFill="1" applyBorder="1" applyAlignment="1">
      <alignment horizontal="right" readingOrder="2"/>
    </xf>
    <xf numFmtId="0" fontId="18" fillId="2" borderId="0" xfId="0" applyFont="1" applyFill="1" applyAlignment="1">
      <alignment readingOrder="1"/>
    </xf>
    <xf numFmtId="0" fontId="8" fillId="2" borderId="15" xfId="0" applyFont="1" applyFill="1" applyBorder="1"/>
    <xf numFmtId="0" fontId="8" fillId="2" borderId="16" xfId="0" applyFont="1" applyFill="1" applyBorder="1"/>
    <xf numFmtId="0" fontId="8" fillId="2" borderId="17" xfId="0" applyFont="1" applyFill="1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13" xfId="0" applyFont="1" applyFill="1" applyBorder="1" applyAlignment="1">
      <alignment vertical="center"/>
    </xf>
    <xf numFmtId="0" fontId="26" fillId="2" borderId="0" xfId="0" applyFont="1" applyFill="1" applyAlignment="1">
      <alignment readingOrder="2"/>
    </xf>
    <xf numFmtId="0" fontId="28" fillId="2" borderId="13" xfId="0" applyFont="1" applyFill="1" applyBorder="1"/>
    <xf numFmtId="0" fontId="28" fillId="2" borderId="0" xfId="0" applyFont="1" applyFill="1" applyAlignment="1">
      <alignment vertical="center" wrapText="1"/>
    </xf>
    <xf numFmtId="0" fontId="28" fillId="2" borderId="14" xfId="0" applyFont="1" applyFill="1" applyBorder="1" applyAlignment="1">
      <alignment vertical="center" wrapText="1"/>
    </xf>
    <xf numFmtId="0" fontId="28" fillId="2" borderId="13" xfId="0" applyFont="1" applyFill="1" applyBorder="1" applyAlignment="1">
      <alignment horizontal="right" readingOrder="2"/>
    </xf>
    <xf numFmtId="0" fontId="29" fillId="2" borderId="0" xfId="0" applyFont="1" applyFill="1"/>
    <xf numFmtId="0" fontId="29" fillId="2" borderId="14" xfId="0" applyFont="1" applyFill="1" applyBorder="1"/>
    <xf numFmtId="0" fontId="8" fillId="0" borderId="0" xfId="0" applyFont="1"/>
    <xf numFmtId="0" fontId="8" fillId="0" borderId="14" xfId="0" applyFont="1" applyBorder="1" applyAlignment="1">
      <alignment horizontal="right" vertical="center" wrapText="1" readingOrder="2"/>
    </xf>
    <xf numFmtId="0" fontId="30" fillId="0" borderId="0" xfId="0" applyFont="1" applyProtection="1">
      <protection locked="0"/>
    </xf>
    <xf numFmtId="166" fontId="18" fillId="0" borderId="1" xfId="2" applyNumberFormat="1" applyFont="1" applyFill="1" applyBorder="1" applyProtection="1"/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166" fontId="18" fillId="0" borderId="25" xfId="0" applyNumberFormat="1" applyFont="1" applyBorder="1" applyAlignment="1">
      <alignment horizontal="center" vertical="center"/>
    </xf>
    <xf numFmtId="166" fontId="22" fillId="0" borderId="34" xfId="0" applyNumberFormat="1" applyFont="1" applyBorder="1" applyAlignment="1">
      <alignment horizontal="center" vertical="center"/>
    </xf>
    <xf numFmtId="166" fontId="8" fillId="0" borderId="34" xfId="0" applyNumberFormat="1" applyFont="1" applyBorder="1" applyAlignment="1">
      <alignment horizontal="center" vertical="center"/>
    </xf>
    <xf numFmtId="166" fontId="18" fillId="0" borderId="1" xfId="0" applyNumberFormat="1" applyFont="1" applyBorder="1" applyAlignment="1">
      <alignment horizontal="center" vertical="center"/>
    </xf>
    <xf numFmtId="166" fontId="8" fillId="6" borderId="8" xfId="0" applyNumberFormat="1" applyFont="1" applyFill="1" applyBorder="1" applyAlignment="1">
      <alignment horizontal="center" vertical="center"/>
    </xf>
    <xf numFmtId="166" fontId="18" fillId="0" borderId="1" xfId="2" applyNumberFormat="1" applyFont="1" applyBorder="1" applyAlignment="1" applyProtection="1">
      <alignment horizontal="center" vertical="center"/>
    </xf>
    <xf numFmtId="9" fontId="18" fillId="0" borderId="1" xfId="0" applyNumberFormat="1" applyFont="1" applyBorder="1" applyAlignment="1">
      <alignment horizontal="center" vertical="center"/>
    </xf>
    <xf numFmtId="166" fontId="31" fillId="0" borderId="1" xfId="2" applyNumberFormat="1" applyFont="1" applyFill="1" applyBorder="1" applyAlignment="1" applyProtection="1">
      <alignment horizontal="center" vertical="center"/>
    </xf>
    <xf numFmtId="166" fontId="18" fillId="0" borderId="1" xfId="2" applyNumberFormat="1" applyFont="1" applyFill="1" applyBorder="1" applyAlignment="1" applyProtection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6" fontId="28" fillId="0" borderId="1" xfId="2" applyNumberFormat="1" applyFont="1" applyFill="1" applyBorder="1" applyAlignment="1" applyProtection="1">
      <alignment horizontal="center" vertical="center"/>
    </xf>
    <xf numFmtId="0" fontId="28" fillId="0" borderId="1" xfId="0" applyFont="1" applyBorder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horizontal="right" vertical="center" readingOrder="2"/>
    </xf>
    <xf numFmtId="0" fontId="18" fillId="0" borderId="0" xfId="0" applyFont="1"/>
    <xf numFmtId="0" fontId="34" fillId="0" borderId="0" xfId="0" applyFont="1" applyAlignment="1">
      <alignment horizontal="right" vertical="center" readingOrder="2"/>
    </xf>
    <xf numFmtId="0" fontId="8" fillId="5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 wrapText="1" readingOrder="2"/>
    </xf>
    <xf numFmtId="0" fontId="28" fillId="0" borderId="1" xfId="0" applyFont="1" applyBorder="1" applyAlignment="1">
      <alignment horizontal="right" vertical="center" wrapText="1"/>
    </xf>
    <xf numFmtId="0" fontId="8" fillId="2" borderId="0" xfId="0" applyFont="1" applyFill="1" applyProtection="1">
      <protection locked="0"/>
    </xf>
    <xf numFmtId="165" fontId="18" fillId="2" borderId="22" xfId="2" applyNumberFormat="1" applyFont="1" applyFill="1" applyBorder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2" borderId="18" xfId="0" applyFont="1" applyFill="1" applyBorder="1" applyProtection="1">
      <protection locked="0"/>
    </xf>
    <xf numFmtId="0" fontId="18" fillId="2" borderId="22" xfId="0" applyFont="1" applyFill="1" applyBorder="1" applyProtection="1">
      <protection locked="0"/>
    </xf>
    <xf numFmtId="0" fontId="8" fillId="2" borderId="16" xfId="0" applyFont="1" applyFill="1" applyBorder="1" applyProtection="1"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8" borderId="0" xfId="0" applyFont="1" applyFill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68" fontId="18" fillId="0" borderId="1" xfId="0" applyNumberFormat="1" applyFont="1" applyBorder="1" applyAlignment="1">
      <alignment horizontal="center" vertical="center"/>
    </xf>
    <xf numFmtId="168" fontId="28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right" vertical="center" wrapText="1"/>
    </xf>
    <xf numFmtId="0" fontId="21" fillId="0" borderId="0" xfId="0" applyFont="1" applyAlignment="1" applyProtection="1">
      <alignment horizontal="center" vertical="center"/>
      <protection locked="0"/>
    </xf>
    <xf numFmtId="0" fontId="21" fillId="8" borderId="0" xfId="0" applyFont="1" applyFill="1" applyAlignment="1" applyProtection="1">
      <alignment horizontal="center" vertical="center"/>
      <protection locked="0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 wrapText="1"/>
      <protection locked="0"/>
    </xf>
    <xf numFmtId="0" fontId="22" fillId="3" borderId="25" xfId="0" applyFont="1" applyFill="1" applyBorder="1" applyAlignment="1" applyProtection="1">
      <alignment horizontal="center" vertical="center" wrapText="1"/>
      <protection locked="0"/>
    </xf>
    <xf numFmtId="0" fontId="22" fillId="3" borderId="6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164" fontId="21" fillId="0" borderId="1" xfId="2" applyNumberFormat="1" applyFont="1" applyFill="1" applyBorder="1" applyAlignment="1" applyProtection="1">
      <alignment horizontal="center" vertical="center"/>
    </xf>
    <xf numFmtId="164" fontId="21" fillId="0" borderId="1" xfId="2" applyNumberFormat="1" applyFont="1" applyBorder="1" applyAlignment="1" applyProtection="1">
      <alignment horizontal="center" vertical="center"/>
    </xf>
    <xf numFmtId="166" fontId="21" fillId="0" borderId="25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9" fontId="21" fillId="0" borderId="1" xfId="0" applyNumberFormat="1" applyFont="1" applyBorder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166" fontId="22" fillId="6" borderId="8" xfId="0" applyNumberFormat="1" applyFont="1" applyFill="1" applyBorder="1" applyAlignment="1">
      <alignment horizontal="center" vertical="center"/>
    </xf>
    <xf numFmtId="166" fontId="21" fillId="0" borderId="1" xfId="2" applyNumberFormat="1" applyFont="1" applyBorder="1" applyAlignment="1" applyProtection="1">
      <alignment horizontal="center" vertical="center"/>
    </xf>
    <xf numFmtId="166" fontId="21" fillId="0" borderId="1" xfId="2" applyNumberFormat="1" applyFont="1" applyFill="1" applyBorder="1" applyAlignment="1" applyProtection="1">
      <alignment horizontal="center" vertical="center"/>
    </xf>
    <xf numFmtId="166" fontId="31" fillId="0" borderId="25" xfId="0" applyNumberFormat="1" applyFont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wrapText="1"/>
    </xf>
    <xf numFmtId="0" fontId="31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8" borderId="0" xfId="0" applyFont="1" applyFill="1" applyAlignment="1" applyProtection="1">
      <alignment horizontal="right" vertical="center"/>
      <protection locked="0"/>
    </xf>
    <xf numFmtId="0" fontId="22" fillId="3" borderId="2" xfId="0" applyFont="1" applyFill="1" applyBorder="1" applyAlignment="1">
      <alignment horizontal="right" vertical="center" wrapText="1"/>
    </xf>
    <xf numFmtId="0" fontId="21" fillId="0" borderId="2" xfId="0" applyFont="1" applyBorder="1" applyAlignment="1">
      <alignment horizontal="right" vertical="center"/>
    </xf>
    <xf numFmtId="0" fontId="31" fillId="0" borderId="2" xfId="0" applyFont="1" applyBorder="1" applyAlignment="1">
      <alignment horizontal="right" vertical="center"/>
    </xf>
    <xf numFmtId="0" fontId="31" fillId="0" borderId="2" xfId="0" applyFont="1" applyBorder="1" applyAlignment="1">
      <alignment horizontal="right" vertical="center" wrapText="1"/>
    </xf>
    <xf numFmtId="0" fontId="31" fillId="0" borderId="29" xfId="0" applyFont="1" applyBorder="1" applyAlignment="1">
      <alignment horizontal="right" vertical="center" wrapText="1"/>
    </xf>
    <xf numFmtId="0" fontId="31" fillId="0" borderId="31" xfId="0" applyFont="1" applyBorder="1" applyAlignment="1">
      <alignment horizontal="right" vertical="center"/>
    </xf>
    <xf numFmtId="0" fontId="38" fillId="0" borderId="0" xfId="0" applyFont="1" applyAlignment="1" applyProtection="1">
      <alignment horizontal="right" vertical="center"/>
      <protection locked="0"/>
    </xf>
    <xf numFmtId="0" fontId="35" fillId="0" borderId="0" xfId="0" applyFont="1" applyAlignment="1" applyProtection="1">
      <alignment horizontal="right" vertical="center" wrapText="1"/>
      <protection locked="0"/>
    </xf>
    <xf numFmtId="0" fontId="21" fillId="8" borderId="0" xfId="0" applyFont="1" applyFill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right" vertical="center" wrapText="1"/>
      <protection locked="0"/>
    </xf>
    <xf numFmtId="0" fontId="21" fillId="0" borderId="11" xfId="0" applyFont="1" applyBorder="1" applyAlignment="1" applyProtection="1">
      <alignment vertical="center"/>
      <protection locked="0"/>
    </xf>
    <xf numFmtId="165" fontId="21" fillId="8" borderId="1" xfId="2" applyNumberFormat="1" applyFont="1" applyFill="1" applyBorder="1" applyAlignment="1" applyProtection="1">
      <alignment vertical="center"/>
      <protection locked="0"/>
    </xf>
    <xf numFmtId="9" fontId="21" fillId="8" borderId="1" xfId="0" applyNumberFormat="1" applyFont="1" applyFill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9" fontId="21" fillId="0" borderId="1" xfId="0" applyNumberFormat="1" applyFont="1" applyBorder="1" applyAlignment="1">
      <alignment vertical="center"/>
    </xf>
    <xf numFmtId="165" fontId="21" fillId="0" borderId="1" xfId="2" applyNumberFormat="1" applyFont="1" applyFill="1" applyBorder="1" applyAlignment="1" applyProtection="1">
      <alignment vertical="center"/>
      <protection locked="0"/>
    </xf>
    <xf numFmtId="1" fontId="21" fillId="0" borderId="1" xfId="0" applyNumberFormat="1" applyFont="1" applyBorder="1" applyAlignment="1" applyProtection="1">
      <alignment horizontal="right" vertical="center"/>
      <protection locked="0"/>
    </xf>
    <xf numFmtId="0" fontId="21" fillId="0" borderId="6" xfId="0" applyFont="1" applyBorder="1" applyAlignment="1" applyProtection="1">
      <alignment vertical="center"/>
      <protection locked="0"/>
    </xf>
    <xf numFmtId="0" fontId="21" fillId="0" borderId="16" xfId="0" applyFont="1" applyBorder="1" applyAlignment="1" applyProtection="1">
      <alignment vertical="center"/>
      <protection locked="0"/>
    </xf>
    <xf numFmtId="0" fontId="21" fillId="0" borderId="8" xfId="0" applyFont="1" applyBorder="1" applyAlignment="1" applyProtection="1">
      <alignment vertical="center"/>
      <protection locked="0"/>
    </xf>
    <xf numFmtId="0" fontId="21" fillId="0" borderId="9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horizontal="right" vertical="center" wrapText="1"/>
      <protection locked="0"/>
    </xf>
    <xf numFmtId="0" fontId="21" fillId="0" borderId="1" xfId="0" applyFont="1" applyBorder="1" applyAlignment="1">
      <alignment vertical="center"/>
    </xf>
    <xf numFmtId="9" fontId="21" fillId="0" borderId="1" xfId="0" applyNumberFormat="1" applyFont="1" applyBorder="1" applyAlignment="1" applyProtection="1">
      <alignment vertical="center"/>
      <protection locked="0"/>
    </xf>
    <xf numFmtId="9" fontId="21" fillId="10" borderId="1" xfId="0" applyNumberFormat="1" applyFont="1" applyFill="1" applyBorder="1" applyAlignment="1">
      <alignment vertical="center"/>
    </xf>
    <xf numFmtId="0" fontId="31" fillId="0" borderId="0" xfId="0" applyFont="1" applyAlignment="1" applyProtection="1">
      <alignment vertical="center"/>
      <protection locked="0"/>
    </xf>
    <xf numFmtId="165" fontId="31" fillId="0" borderId="1" xfId="2" applyNumberFormat="1" applyFont="1" applyFill="1" applyBorder="1" applyAlignment="1" applyProtection="1">
      <alignment vertical="center"/>
      <protection locked="0"/>
    </xf>
    <xf numFmtId="0" fontId="31" fillId="0" borderId="1" xfId="0" applyFont="1" applyBorder="1" applyAlignment="1" applyProtection="1">
      <alignment vertical="center"/>
      <protection locked="0"/>
    </xf>
    <xf numFmtId="9" fontId="31" fillId="0" borderId="1" xfId="0" applyNumberFormat="1" applyFont="1" applyBorder="1" applyAlignment="1">
      <alignment vertical="center"/>
    </xf>
    <xf numFmtId="0" fontId="31" fillId="0" borderId="6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 wrapText="1"/>
    </xf>
    <xf numFmtId="0" fontId="18" fillId="0" borderId="11" xfId="0" applyFont="1" applyBorder="1" applyAlignment="1" applyProtection="1">
      <alignment vertical="center"/>
      <protection locked="0"/>
    </xf>
    <xf numFmtId="0" fontId="18" fillId="0" borderId="11" xfId="0" applyFont="1" applyBorder="1" applyAlignment="1">
      <alignment vertical="center"/>
    </xf>
    <xf numFmtId="0" fontId="18" fillId="0" borderId="0" xfId="0" applyFont="1" applyAlignment="1">
      <alignment vertical="center"/>
    </xf>
    <xf numFmtId="165" fontId="18" fillId="8" borderId="1" xfId="2" applyNumberFormat="1" applyFont="1" applyFill="1" applyBorder="1" applyAlignment="1" applyProtection="1">
      <alignment vertical="center"/>
      <protection locked="0"/>
    </xf>
    <xf numFmtId="9" fontId="18" fillId="8" borderId="1" xfId="0" applyNumberFormat="1" applyFont="1" applyFill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vertical="center"/>
      <protection locked="0"/>
    </xf>
    <xf numFmtId="9" fontId="18" fillId="0" borderId="1" xfId="0" applyNumberFormat="1" applyFont="1" applyBorder="1" applyAlignment="1">
      <alignment vertical="center"/>
    </xf>
    <xf numFmtId="1" fontId="18" fillId="0" borderId="1" xfId="0" applyNumberFormat="1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vertical="center"/>
      <protection locked="0"/>
    </xf>
    <xf numFmtId="9" fontId="18" fillId="10" borderId="1" xfId="0" applyNumberFormat="1" applyFont="1" applyFill="1" applyBorder="1" applyAlignment="1">
      <alignment vertical="center"/>
    </xf>
    <xf numFmtId="0" fontId="18" fillId="0" borderId="16" xfId="0" applyFont="1" applyBorder="1" applyAlignment="1" applyProtection="1">
      <alignment vertical="center"/>
      <protection locked="0"/>
    </xf>
    <xf numFmtId="0" fontId="18" fillId="0" borderId="8" xfId="0" applyFont="1" applyBorder="1" applyAlignment="1" applyProtection="1">
      <alignment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>
      <alignment horizontal="right" vertical="center" wrapText="1"/>
    </xf>
    <xf numFmtId="0" fontId="18" fillId="0" borderId="14" xfId="0" applyFont="1" applyBorder="1" applyAlignment="1">
      <alignment vertical="center"/>
    </xf>
    <xf numFmtId="166" fontId="8" fillId="6" borderId="1" xfId="0" applyNumberFormat="1" applyFont="1" applyFill="1" applyBorder="1" applyAlignment="1">
      <alignment horizontal="center" vertical="center"/>
    </xf>
    <xf numFmtId="0" fontId="18" fillId="0" borderId="14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right"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165" fontId="8" fillId="2" borderId="1" xfId="2" applyNumberFormat="1" applyFont="1" applyFill="1" applyBorder="1" applyProtection="1">
      <protection locked="0"/>
    </xf>
    <xf numFmtId="9" fontId="18" fillId="0" borderId="1" xfId="0" applyNumberFormat="1" applyFont="1" applyBorder="1" applyAlignment="1">
      <alignment horizontal="right" vertical="center"/>
    </xf>
    <xf numFmtId="0" fontId="18" fillId="0" borderId="0" xfId="0" applyFont="1" applyAlignment="1" applyProtection="1">
      <alignment horizontal="center" vertical="center" wrapText="1"/>
      <protection locked="0"/>
    </xf>
    <xf numFmtId="165" fontId="18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8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39" fillId="0" borderId="0" xfId="0" applyFont="1" applyAlignment="1">
      <alignment vertical="center"/>
    </xf>
    <xf numFmtId="0" fontId="29" fillId="0" borderId="0" xfId="0" applyFont="1" applyAlignment="1">
      <alignment horizontal="right" vertical="center" wrapText="1"/>
    </xf>
    <xf numFmtId="0" fontId="18" fillId="0" borderId="0" xfId="0" applyFont="1" applyAlignment="1" applyProtection="1">
      <alignment horizontal="right" vertical="center"/>
      <protection locked="0"/>
    </xf>
    <xf numFmtId="0" fontId="8" fillId="3" borderId="1" xfId="0" applyFont="1" applyFill="1" applyBorder="1" applyAlignment="1">
      <alignment horizontal="right" vertical="center" wrapText="1"/>
    </xf>
    <xf numFmtId="0" fontId="36" fillId="0" borderId="0" xfId="0" applyFont="1" applyAlignment="1" applyProtection="1">
      <alignment horizontal="right" vertical="center"/>
      <protection locked="0"/>
    </xf>
    <xf numFmtId="166" fontId="22" fillId="0" borderId="0" xfId="0" applyNumberFormat="1" applyFont="1" applyAlignment="1">
      <alignment horizontal="center" vertical="center"/>
    </xf>
    <xf numFmtId="0" fontId="21" fillId="11" borderId="0" xfId="0" applyFont="1" applyFill="1" applyAlignment="1" applyProtection="1">
      <alignment horizontal="right" vertical="center"/>
      <protection locked="0"/>
    </xf>
    <xf numFmtId="0" fontId="40" fillId="0" borderId="10" xfId="0" applyFont="1" applyBorder="1"/>
    <xf numFmtId="0" fontId="40" fillId="0" borderId="11" xfId="0" applyFont="1" applyBorder="1"/>
    <xf numFmtId="0" fontId="40" fillId="0" borderId="12" xfId="0" applyFont="1" applyBorder="1"/>
    <xf numFmtId="0" fontId="40" fillId="0" borderId="0" xfId="0" applyFont="1"/>
    <xf numFmtId="0" fontId="40" fillId="0" borderId="13" xfId="0" applyFont="1" applyBorder="1"/>
    <xf numFmtId="0" fontId="40" fillId="0" borderId="14" xfId="0" applyFont="1" applyBorder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right"/>
    </xf>
    <xf numFmtId="0" fontId="40" fillId="6" borderId="1" xfId="0" applyFont="1" applyFill="1" applyBorder="1" applyAlignment="1">
      <alignment horizontal="center" vertical="center"/>
    </xf>
    <xf numFmtId="0" fontId="40" fillId="6" borderId="1" xfId="0" applyFont="1" applyFill="1" applyBorder="1"/>
    <xf numFmtId="10" fontId="40" fillId="0" borderId="1" xfId="0" applyNumberFormat="1" applyFont="1" applyBorder="1"/>
    <xf numFmtId="166" fontId="40" fillId="6" borderId="1" xfId="2" applyNumberFormat="1" applyFont="1" applyFill="1" applyBorder="1" applyProtection="1"/>
    <xf numFmtId="167" fontId="40" fillId="0" borderId="1" xfId="0" applyNumberFormat="1" applyFont="1" applyBorder="1"/>
    <xf numFmtId="10" fontId="40" fillId="6" borderId="1" xfId="0" applyNumberFormat="1" applyFont="1" applyFill="1" applyBorder="1"/>
    <xf numFmtId="0" fontId="40" fillId="0" borderId="0" xfId="0" applyFont="1" applyAlignment="1">
      <alignment horizontal="right" readingOrder="2"/>
    </xf>
    <xf numFmtId="0" fontId="40" fillId="0" borderId="15" xfId="0" applyFont="1" applyBorder="1"/>
    <xf numFmtId="0" fontId="40" fillId="0" borderId="16" xfId="0" applyFont="1" applyBorder="1"/>
    <xf numFmtId="0" fontId="40" fillId="0" borderId="17" xfId="0" applyFont="1" applyBorder="1"/>
    <xf numFmtId="166" fontId="18" fillId="0" borderId="1" xfId="0" applyNumberFormat="1" applyFont="1" applyBorder="1" applyAlignment="1">
      <alignment vertical="center"/>
    </xf>
    <xf numFmtId="166" fontId="18" fillId="0" borderId="8" xfId="0" applyNumberFormat="1" applyFont="1" applyBorder="1" applyAlignment="1" applyProtection="1">
      <alignment vertical="center"/>
      <protection locked="0"/>
    </xf>
    <xf numFmtId="166" fontId="18" fillId="0" borderId="1" xfId="0" applyNumberFormat="1" applyFont="1" applyBorder="1" applyAlignment="1" applyProtection="1">
      <alignment vertical="center"/>
      <protection locked="0"/>
    </xf>
    <xf numFmtId="0" fontId="18" fillId="0" borderId="11" xfId="0" applyFont="1" applyBorder="1" applyProtection="1">
      <protection locked="0"/>
    </xf>
    <xf numFmtId="1" fontId="18" fillId="0" borderId="1" xfId="0" applyNumberFormat="1" applyFont="1" applyBorder="1" applyAlignment="1" applyProtection="1">
      <alignment horizontal="right"/>
      <protection locked="0"/>
    </xf>
    <xf numFmtId="166" fontId="8" fillId="0" borderId="34" xfId="0" applyNumberFormat="1" applyFont="1" applyBorder="1"/>
    <xf numFmtId="165" fontId="18" fillId="2" borderId="1" xfId="2" applyNumberFormat="1" applyFont="1" applyFill="1" applyBorder="1" applyAlignment="1" applyProtection="1">
      <alignment vertical="center"/>
      <protection locked="0"/>
    </xf>
    <xf numFmtId="9" fontId="18" fillId="2" borderId="1" xfId="0" applyNumberFormat="1" applyFont="1" applyFill="1" applyBorder="1" applyAlignment="1">
      <alignment vertical="center"/>
    </xf>
    <xf numFmtId="0" fontId="22" fillId="2" borderId="0" xfId="0" applyFont="1" applyFill="1" applyAlignment="1">
      <alignment horizontal="center" vertical="center"/>
    </xf>
    <xf numFmtId="166" fontId="22" fillId="2" borderId="0" xfId="0" applyNumberFormat="1" applyFont="1" applyFill="1" applyAlignment="1">
      <alignment horizontal="center" vertical="center"/>
    </xf>
    <xf numFmtId="0" fontId="11" fillId="6" borderId="3" xfId="0" applyFont="1" applyFill="1" applyBorder="1"/>
    <xf numFmtId="0" fontId="11" fillId="6" borderId="5" xfId="0" applyFont="1" applyFill="1" applyBorder="1" applyAlignment="1">
      <alignment horizontal="center" wrapText="1"/>
    </xf>
    <xf numFmtId="0" fontId="40" fillId="0" borderId="2" xfId="0" applyFont="1" applyBorder="1"/>
    <xf numFmtId="43" fontId="40" fillId="0" borderId="6" xfId="2" applyFont="1" applyBorder="1" applyProtection="1"/>
    <xf numFmtId="0" fontId="40" fillId="0" borderId="2" xfId="0" applyFont="1" applyBorder="1" applyAlignment="1">
      <alignment wrapText="1"/>
    </xf>
    <xf numFmtId="0" fontId="40" fillId="0" borderId="33" xfId="0" applyFont="1" applyBorder="1" applyAlignment="1">
      <alignment wrapText="1"/>
    </xf>
    <xf numFmtId="0" fontId="11" fillId="6" borderId="26" xfId="0" applyFont="1" applyFill="1" applyBorder="1" applyAlignment="1">
      <alignment horizontal="center"/>
    </xf>
    <xf numFmtId="43" fontId="11" fillId="6" borderId="9" xfId="2" applyFont="1" applyFill="1" applyBorder="1" applyProtection="1"/>
    <xf numFmtId="0" fontId="11" fillId="12" borderId="37" xfId="0" applyFont="1" applyFill="1" applyBorder="1" applyAlignment="1">
      <alignment horizontal="center" wrapText="1"/>
    </xf>
    <xf numFmtId="43" fontId="40" fillId="12" borderId="38" xfId="2" applyFont="1" applyFill="1" applyBorder="1" applyProtection="1"/>
    <xf numFmtId="43" fontId="11" fillId="12" borderId="39" xfId="2" applyFont="1" applyFill="1" applyBorder="1" applyProtection="1"/>
    <xf numFmtId="0" fontId="40" fillId="0" borderId="1" xfId="0" applyFont="1" applyBorder="1" applyProtection="1">
      <protection locked="0"/>
    </xf>
    <xf numFmtId="0" fontId="8" fillId="2" borderId="11" xfId="0" applyFont="1" applyFill="1" applyBorder="1" applyProtection="1"/>
    <xf numFmtId="0" fontId="8" fillId="2" borderId="0" xfId="0" applyFont="1" applyFill="1" applyProtection="1"/>
    <xf numFmtId="0" fontId="29" fillId="2" borderId="0" xfId="0" applyFont="1" applyFill="1" applyAlignment="1" applyProtection="1">
      <alignment horizontal="right"/>
    </xf>
    <xf numFmtId="0" fontId="8" fillId="2" borderId="0" xfId="0" applyFont="1" applyFill="1" applyAlignment="1" applyProtection="1">
      <alignment horizontal="right"/>
    </xf>
    <xf numFmtId="0" fontId="8" fillId="2" borderId="0" xfId="0" applyFont="1" applyFill="1" applyAlignment="1" applyProtection="1">
      <alignment horizontal="center"/>
    </xf>
    <xf numFmtId="0" fontId="29" fillId="2" borderId="0" xfId="0" applyFont="1" applyFill="1" applyProtection="1"/>
    <xf numFmtId="0" fontId="8" fillId="2" borderId="10" xfId="0" applyFont="1" applyFill="1" applyBorder="1" applyProtection="1"/>
    <xf numFmtId="0" fontId="8" fillId="2" borderId="12" xfId="0" applyFont="1" applyFill="1" applyBorder="1" applyProtection="1"/>
    <xf numFmtId="0" fontId="8" fillId="2" borderId="13" xfId="0" applyFont="1" applyFill="1" applyBorder="1" applyProtection="1"/>
    <xf numFmtId="0" fontId="8" fillId="2" borderId="14" xfId="0" applyFont="1" applyFill="1" applyBorder="1" applyProtection="1"/>
    <xf numFmtId="0" fontId="8" fillId="2" borderId="15" xfId="0" applyFont="1" applyFill="1" applyBorder="1" applyProtection="1"/>
    <xf numFmtId="0" fontId="8" fillId="2" borderId="16" xfId="0" applyFont="1" applyFill="1" applyBorder="1" applyProtection="1"/>
    <xf numFmtId="0" fontId="8" fillId="2" borderId="17" xfId="0" applyFont="1" applyFill="1" applyBorder="1" applyProtection="1"/>
    <xf numFmtId="0" fontId="18" fillId="2" borderId="0" xfId="0" applyFont="1" applyFill="1" applyAlignment="1" applyProtection="1">
      <alignment horizontal="right"/>
      <protection locked="0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 wrapText="1" readingOrder="2"/>
    </xf>
    <xf numFmtId="0" fontId="8" fillId="0" borderId="0" xfId="0" applyFont="1" applyAlignment="1">
      <alignment vertical="center" wrapText="1" readingOrder="2"/>
    </xf>
    <xf numFmtId="0" fontId="8" fillId="0" borderId="13" xfId="0" applyFont="1" applyBorder="1" applyAlignment="1">
      <alignment horizontal="right" vertical="center" wrapText="1" readingOrder="2"/>
    </xf>
    <xf numFmtId="0" fontId="8" fillId="0" borderId="0" xfId="0" applyFont="1" applyAlignment="1">
      <alignment horizontal="right" vertical="center" wrapText="1" readingOrder="2"/>
    </xf>
    <xf numFmtId="0" fontId="8" fillId="0" borderId="14" xfId="0" applyFont="1" applyBorder="1" applyAlignment="1">
      <alignment horizontal="right" vertical="center" wrapText="1" readingOrder="2"/>
    </xf>
    <xf numFmtId="0" fontId="8" fillId="2" borderId="13" xfId="0" applyFont="1" applyFill="1" applyBorder="1" applyAlignment="1">
      <alignment horizontal="right" vertical="center" wrapText="1" readingOrder="2"/>
    </xf>
    <xf numFmtId="0" fontId="8" fillId="2" borderId="0" xfId="0" applyFont="1" applyFill="1" applyAlignment="1">
      <alignment horizontal="right" vertical="center" wrapText="1" readingOrder="2"/>
    </xf>
    <xf numFmtId="0" fontId="8" fillId="2" borderId="14" xfId="0" applyFont="1" applyFill="1" applyBorder="1" applyAlignment="1">
      <alignment horizontal="right" vertical="center" wrapText="1" readingOrder="2"/>
    </xf>
    <xf numFmtId="0" fontId="29" fillId="2" borderId="13" xfId="0" applyFont="1" applyFill="1" applyBorder="1" applyAlignment="1">
      <alignment horizontal="right" vertical="center" wrapText="1" readingOrder="2"/>
    </xf>
    <xf numFmtId="0" fontId="29" fillId="2" borderId="0" xfId="0" applyFont="1" applyFill="1" applyAlignment="1">
      <alignment horizontal="right" vertical="center" wrapText="1" readingOrder="2"/>
    </xf>
    <xf numFmtId="0" fontId="29" fillId="2" borderId="14" xfId="0" applyFont="1" applyFill="1" applyBorder="1" applyAlignment="1">
      <alignment horizontal="right" vertical="center" wrapText="1" readingOrder="2"/>
    </xf>
    <xf numFmtId="0" fontId="18" fillId="0" borderId="1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4" xfId="0" applyFont="1" applyBorder="1" applyAlignment="1">
      <alignment horizontal="right" vertical="center" wrapText="1" readingOrder="2"/>
    </xf>
    <xf numFmtId="0" fontId="18" fillId="2" borderId="22" xfId="0" applyFont="1" applyFill="1" applyBorder="1" applyAlignment="1" applyProtection="1">
      <alignment horizontal="center"/>
      <protection locked="0"/>
    </xf>
    <xf numFmtId="0" fontId="18" fillId="2" borderId="18" xfId="0" applyFont="1" applyFill="1" applyBorder="1" applyAlignment="1" applyProtection="1">
      <alignment horizontal="center"/>
      <protection locked="0"/>
    </xf>
    <xf numFmtId="14" fontId="18" fillId="2" borderId="22" xfId="0" applyNumberFormat="1" applyFont="1" applyFill="1" applyBorder="1" applyAlignment="1" applyProtection="1">
      <alignment horizontal="center"/>
      <protection locked="0"/>
    </xf>
    <xf numFmtId="0" fontId="8" fillId="6" borderId="26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right" vertical="center" wrapText="1"/>
    </xf>
    <xf numFmtId="0" fontId="18" fillId="0" borderId="30" xfId="0" applyFont="1" applyBorder="1" applyAlignment="1">
      <alignment horizontal="right" vertical="center" wrapText="1"/>
    </xf>
    <xf numFmtId="0" fontId="18" fillId="0" borderId="31" xfId="0" applyFont="1" applyBorder="1" applyAlignment="1">
      <alignment horizontal="right" vertical="center" wrapText="1"/>
    </xf>
    <xf numFmtId="0" fontId="29" fillId="11" borderId="29" xfId="0" applyFont="1" applyFill="1" applyBorder="1" applyAlignment="1">
      <alignment horizontal="right" vertical="center" wrapText="1"/>
    </xf>
    <xf numFmtId="0" fontId="29" fillId="11" borderId="30" xfId="0" applyFont="1" applyFill="1" applyBorder="1" applyAlignment="1">
      <alignment horizontal="right" vertical="center" wrapText="1"/>
    </xf>
    <xf numFmtId="0" fontId="29" fillId="11" borderId="31" xfId="0" applyFont="1" applyFill="1" applyBorder="1" applyAlignment="1">
      <alignment horizontal="right" vertical="center" wrapText="1"/>
    </xf>
    <xf numFmtId="0" fontId="22" fillId="6" borderId="26" xfId="0" applyFont="1" applyFill="1" applyBorder="1" applyAlignment="1">
      <alignment horizontal="center" vertical="center"/>
    </xf>
    <xf numFmtId="0" fontId="22" fillId="6" borderId="27" xfId="0" applyFont="1" applyFill="1" applyBorder="1" applyAlignment="1">
      <alignment horizontal="center" vertical="center"/>
    </xf>
    <xf numFmtId="0" fontId="22" fillId="6" borderId="28" xfId="0" applyFont="1" applyFill="1" applyBorder="1" applyAlignment="1">
      <alignment horizontal="center" vertical="center"/>
    </xf>
    <xf numFmtId="0" fontId="22" fillId="7" borderId="20" xfId="0" applyFont="1" applyFill="1" applyBorder="1" applyAlignment="1">
      <alignment horizontal="center" vertical="center"/>
    </xf>
    <xf numFmtId="0" fontId="22" fillId="7" borderId="21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right" vertical="center" wrapText="1"/>
    </xf>
    <xf numFmtId="0" fontId="21" fillId="0" borderId="30" xfId="0" applyFont="1" applyBorder="1" applyAlignment="1">
      <alignment horizontal="right" vertical="center" wrapText="1"/>
    </xf>
    <xf numFmtId="0" fontId="21" fillId="0" borderId="29" xfId="0" applyFont="1" applyBorder="1" applyAlignment="1">
      <alignment horizontal="right" vertical="center"/>
    </xf>
    <xf numFmtId="0" fontId="21" fillId="0" borderId="30" xfId="0" applyFont="1" applyBorder="1" applyAlignment="1">
      <alignment horizontal="right" vertical="center"/>
    </xf>
    <xf numFmtId="0" fontId="21" fillId="0" borderId="31" xfId="0" applyFont="1" applyBorder="1" applyAlignment="1">
      <alignment horizontal="right" vertical="center"/>
    </xf>
    <xf numFmtId="0" fontId="31" fillId="0" borderId="29" xfId="0" applyFont="1" applyBorder="1" applyAlignment="1">
      <alignment horizontal="right" vertical="center"/>
    </xf>
    <xf numFmtId="0" fontId="31" fillId="0" borderId="30" xfId="0" applyFont="1" applyBorder="1" applyAlignment="1">
      <alignment horizontal="right" vertical="center"/>
    </xf>
    <xf numFmtId="0" fontId="31" fillId="0" borderId="31" xfId="0" applyFont="1" applyBorder="1" applyAlignment="1">
      <alignment horizontal="right" vertical="center"/>
    </xf>
    <xf numFmtId="0" fontId="21" fillId="0" borderId="31" xfId="0" applyFont="1" applyBorder="1" applyAlignment="1">
      <alignment horizontal="right" vertical="center" wrapText="1"/>
    </xf>
    <xf numFmtId="0" fontId="22" fillId="7" borderId="11" xfId="0" applyFont="1" applyFill="1" applyBorder="1" applyAlignment="1" applyProtection="1">
      <alignment horizontal="center" vertical="center"/>
      <protection locked="0"/>
    </xf>
    <xf numFmtId="0" fontId="22" fillId="7" borderId="12" xfId="0" applyFont="1" applyFill="1" applyBorder="1" applyAlignment="1" applyProtection="1">
      <alignment horizontal="center" vertical="center"/>
      <protection locked="0"/>
    </xf>
    <xf numFmtId="0" fontId="8" fillId="6" borderId="25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9" borderId="1" xfId="0" applyFill="1" applyBorder="1" applyAlignment="1" applyProtection="1">
      <alignment horizontal="center" vertical="center"/>
      <protection locked="0"/>
    </xf>
    <xf numFmtId="0" fontId="17" fillId="7" borderId="1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6" borderId="26" xfId="0" applyFont="1" applyFill="1" applyBorder="1" applyAlignment="1">
      <alignment horizontal="center"/>
    </xf>
    <xf numFmtId="0" fontId="8" fillId="6" borderId="27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1" fontId="40" fillId="0" borderId="18" xfId="0" applyNumberFormat="1" applyFont="1" applyBorder="1" applyAlignment="1">
      <alignment horizontal="center"/>
    </xf>
    <xf numFmtId="14" fontId="40" fillId="0" borderId="18" xfId="0" applyNumberFormat="1" applyFont="1" applyBorder="1" applyAlignment="1">
      <alignment horizontal="center"/>
    </xf>
    <xf numFmtId="14" fontId="40" fillId="0" borderId="22" xfId="0" applyNumberFormat="1" applyFont="1" applyBorder="1" applyAlignment="1">
      <alignment horizontal="center"/>
    </xf>
    <xf numFmtId="0" fontId="40" fillId="0" borderId="18" xfId="0" applyFont="1" applyBorder="1" applyAlignment="1">
      <alignment horizontal="center"/>
    </xf>
  </cellXfs>
  <cellStyles count="3">
    <cellStyle name="Comma" xfId="2" builtinId="3"/>
    <cellStyle name="Normal" xfId="0" builtinId="0"/>
    <cellStyle name="היפר-קישור" xfId="1" builtinId="8"/>
  </cellStyles>
  <dxfs count="9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99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711654</xdr:colOff>
      <xdr:row>1</xdr:row>
      <xdr:rowOff>81643</xdr:rowOff>
    </xdr:from>
    <xdr:to>
      <xdr:col>10</xdr:col>
      <xdr:colOff>514350</xdr:colOff>
      <xdr:row>7</xdr:row>
      <xdr:rowOff>104775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317900" y="291193"/>
          <a:ext cx="1507671" cy="12613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28575</xdr:rowOff>
    </xdr:from>
    <xdr:to>
      <xdr:col>3</xdr:col>
      <xdr:colOff>628650</xdr:colOff>
      <xdr:row>7</xdr:row>
      <xdr:rowOff>19050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594750" y="209550"/>
          <a:ext cx="2004060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rightToLeft="1" zoomScale="115" zoomScaleNormal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25" sqref="Q25"/>
    </sheetView>
  </sheetViews>
  <sheetFormatPr defaultRowHeight="14.25" x14ac:dyDescent="0.2"/>
  <cols>
    <col min="1" max="1" width="11.625" customWidth="1"/>
    <col min="2" max="2" width="9.125" customWidth="1"/>
    <col min="3" max="3" width="6.625" bestFit="1" customWidth="1"/>
    <col min="4" max="4" width="4.75" bestFit="1" customWidth="1"/>
    <col min="5" max="5" width="8.625" bestFit="1" customWidth="1"/>
    <col min="6" max="6" width="9.25" customWidth="1"/>
    <col min="7" max="7" width="6.625" bestFit="1" customWidth="1"/>
    <col min="8" max="8" width="4.75" bestFit="1" customWidth="1"/>
    <col min="9" max="9" width="8.625" bestFit="1" customWidth="1"/>
    <col min="10" max="10" width="11.25" customWidth="1"/>
    <col min="11" max="11" width="6.625" bestFit="1" customWidth="1"/>
    <col min="12" max="12" width="4.75" bestFit="1" customWidth="1"/>
    <col min="13" max="13" width="8.625" bestFit="1" customWidth="1"/>
    <col min="14" max="14" width="10.5" customWidth="1"/>
  </cols>
  <sheetData>
    <row r="1" spans="1:23" ht="15.75" thickBot="1" x14ac:dyDescent="0.3">
      <c r="A1" s="41" t="s">
        <v>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W1" s="1"/>
    </row>
    <row r="2" spans="1:23" ht="22.5" customHeight="1" x14ac:dyDescent="0.2">
      <c r="A2" s="22" t="s">
        <v>8</v>
      </c>
      <c r="B2" s="328" t="s">
        <v>6</v>
      </c>
      <c r="C2" s="328"/>
      <c r="D2" s="328"/>
      <c r="E2" s="328"/>
      <c r="F2" s="328" t="s">
        <v>9</v>
      </c>
      <c r="G2" s="328"/>
      <c r="H2" s="328"/>
      <c r="I2" s="328"/>
      <c r="J2" s="328" t="s">
        <v>12</v>
      </c>
      <c r="K2" s="328"/>
      <c r="L2" s="328"/>
      <c r="M2" s="328"/>
      <c r="N2" s="328" t="s">
        <v>57</v>
      </c>
      <c r="O2" s="328"/>
      <c r="P2" s="328"/>
      <c r="Q2" s="328"/>
      <c r="R2" s="328" t="s">
        <v>58</v>
      </c>
      <c r="S2" s="328"/>
      <c r="T2" s="328"/>
      <c r="U2" s="329"/>
    </row>
    <row r="3" spans="1:23" ht="32.25" customHeight="1" x14ac:dyDescent="0.2">
      <c r="A3" s="23"/>
      <c r="B3" s="21" t="s">
        <v>4</v>
      </c>
      <c r="C3" s="21" t="s">
        <v>10</v>
      </c>
      <c r="D3" s="21" t="s">
        <v>11</v>
      </c>
      <c r="E3" s="21" t="s">
        <v>13</v>
      </c>
      <c r="F3" s="21" t="s">
        <v>4</v>
      </c>
      <c r="G3" s="21" t="s">
        <v>10</v>
      </c>
      <c r="H3" s="21" t="s">
        <v>11</v>
      </c>
      <c r="I3" s="21" t="s">
        <v>13</v>
      </c>
      <c r="J3" s="21" t="s">
        <v>4</v>
      </c>
      <c r="K3" s="21" t="s">
        <v>10</v>
      </c>
      <c r="L3" s="21" t="s">
        <v>11</v>
      </c>
      <c r="M3" s="21" t="s">
        <v>13</v>
      </c>
      <c r="N3" s="21" t="s">
        <v>4</v>
      </c>
      <c r="O3" s="21" t="s">
        <v>10</v>
      </c>
      <c r="P3" s="21" t="s">
        <v>11</v>
      </c>
      <c r="Q3" s="21" t="s">
        <v>13</v>
      </c>
      <c r="R3" s="21" t="s">
        <v>4</v>
      </c>
      <c r="S3" s="21" t="s">
        <v>10</v>
      </c>
      <c r="T3" s="21" t="s">
        <v>11</v>
      </c>
      <c r="U3" s="24" t="s">
        <v>13</v>
      </c>
    </row>
    <row r="4" spans="1:23" ht="28.5" customHeight="1" x14ac:dyDescent="0.2">
      <c r="A4" s="25" t="s">
        <v>56</v>
      </c>
      <c r="B4" s="3" t="s">
        <v>105</v>
      </c>
      <c r="C4" s="5">
        <v>2500</v>
      </c>
      <c r="D4" s="6">
        <v>1</v>
      </c>
      <c r="E4" s="5">
        <f>C4*D4</f>
        <v>2500</v>
      </c>
      <c r="F4" s="3" t="s">
        <v>105</v>
      </c>
      <c r="G4" s="5">
        <v>2500</v>
      </c>
      <c r="H4" s="6">
        <v>1</v>
      </c>
      <c r="I4" s="5">
        <f t="shared" ref="I4:I13" si="0">G4*H4</f>
        <v>2500</v>
      </c>
      <c r="J4" s="3" t="s">
        <v>105</v>
      </c>
      <c r="K4" s="5">
        <v>2500</v>
      </c>
      <c r="L4" s="6">
        <v>1</v>
      </c>
      <c r="M4" s="5">
        <f t="shared" ref="M4:M13" si="1">K4*L4</f>
        <v>2500</v>
      </c>
      <c r="N4" s="3" t="s">
        <v>105</v>
      </c>
      <c r="O4" s="5">
        <v>6000</v>
      </c>
      <c r="P4" s="6">
        <v>1</v>
      </c>
      <c r="Q4" s="5">
        <f>P4*O4</f>
        <v>6000</v>
      </c>
      <c r="R4" s="3" t="s">
        <v>105</v>
      </c>
      <c r="S4" s="5">
        <v>8000</v>
      </c>
      <c r="T4" s="6">
        <v>1</v>
      </c>
      <c r="U4" s="26">
        <f>T4*S4</f>
        <v>8000</v>
      </c>
    </row>
    <row r="5" spans="1:23" x14ac:dyDescent="0.2">
      <c r="A5" s="27" t="s">
        <v>14</v>
      </c>
      <c r="B5" s="3" t="s">
        <v>15</v>
      </c>
      <c r="C5" s="5">
        <v>900</v>
      </c>
      <c r="D5" s="6">
        <v>1</v>
      </c>
      <c r="E5" s="5">
        <f t="shared" ref="E5:E13" si="2">C5*D5</f>
        <v>900</v>
      </c>
      <c r="F5" s="3" t="s">
        <v>15</v>
      </c>
      <c r="G5" s="5">
        <v>900</v>
      </c>
      <c r="H5" s="6">
        <v>1</v>
      </c>
      <c r="I5" s="5">
        <f t="shared" si="0"/>
        <v>900</v>
      </c>
      <c r="J5" s="3" t="s">
        <v>15</v>
      </c>
      <c r="K5" s="5">
        <v>900</v>
      </c>
      <c r="L5" s="6">
        <v>1</v>
      </c>
      <c r="M5" s="5">
        <f t="shared" si="1"/>
        <v>900</v>
      </c>
      <c r="N5" s="3"/>
      <c r="O5" s="5"/>
      <c r="P5" s="6"/>
      <c r="Q5" s="5">
        <f t="shared" ref="Q5:Q13" si="3">P5*O5</f>
        <v>0</v>
      </c>
      <c r="R5" s="3" t="s">
        <v>105</v>
      </c>
      <c r="S5" s="5"/>
      <c r="T5" s="6"/>
      <c r="U5" s="26">
        <f t="shared" ref="U5:U13" si="4">T5*S5</f>
        <v>0</v>
      </c>
    </row>
    <row r="6" spans="1:23" ht="25.5" x14ac:dyDescent="0.2">
      <c r="A6" s="27" t="s">
        <v>16</v>
      </c>
      <c r="B6" s="3" t="s">
        <v>17</v>
      </c>
      <c r="C6" s="5">
        <v>400</v>
      </c>
      <c r="D6" s="6">
        <v>1</v>
      </c>
      <c r="E6" s="5">
        <f t="shared" si="2"/>
        <v>400</v>
      </c>
      <c r="F6" s="3" t="s">
        <v>17</v>
      </c>
      <c r="G6" s="5">
        <v>400</v>
      </c>
      <c r="H6" s="6">
        <v>1</v>
      </c>
      <c r="I6" s="5">
        <f t="shared" si="0"/>
        <v>400</v>
      </c>
      <c r="J6" s="3" t="s">
        <v>17</v>
      </c>
      <c r="K6" s="5">
        <v>400</v>
      </c>
      <c r="L6" s="6">
        <v>1</v>
      </c>
      <c r="M6" s="5">
        <f t="shared" si="1"/>
        <v>400</v>
      </c>
      <c r="N6" s="3" t="s">
        <v>77</v>
      </c>
      <c r="O6" s="5">
        <v>1400</v>
      </c>
      <c r="P6" s="6">
        <v>1</v>
      </c>
      <c r="Q6" s="5">
        <f>P6*O6</f>
        <v>1400</v>
      </c>
      <c r="R6" s="3" t="s">
        <v>77</v>
      </c>
      <c r="S6" s="5">
        <v>1400</v>
      </c>
      <c r="T6" s="6">
        <v>1</v>
      </c>
      <c r="U6" s="26">
        <f t="shared" si="4"/>
        <v>1400</v>
      </c>
    </row>
    <row r="7" spans="1:23" ht="51" x14ac:dyDescent="0.25">
      <c r="A7" s="27" t="s">
        <v>76</v>
      </c>
      <c r="B7" s="3" t="s">
        <v>18</v>
      </c>
      <c r="C7" s="5">
        <v>5600</v>
      </c>
      <c r="D7" s="6">
        <v>1</v>
      </c>
      <c r="E7" s="5">
        <f t="shared" si="2"/>
        <v>5600</v>
      </c>
      <c r="F7" s="3" t="s">
        <v>19</v>
      </c>
      <c r="G7" s="5">
        <v>7500</v>
      </c>
      <c r="H7" s="6">
        <v>1</v>
      </c>
      <c r="I7" s="5">
        <f t="shared" si="0"/>
        <v>7500</v>
      </c>
      <c r="J7" s="3" t="s">
        <v>19</v>
      </c>
      <c r="K7" s="5">
        <v>8000</v>
      </c>
      <c r="L7" s="6">
        <v>1</v>
      </c>
      <c r="M7" s="5">
        <f t="shared" si="1"/>
        <v>8000</v>
      </c>
      <c r="N7" s="3" t="s">
        <v>79</v>
      </c>
      <c r="O7" s="5">
        <v>10000</v>
      </c>
      <c r="P7" s="6">
        <v>1</v>
      </c>
      <c r="Q7" s="5">
        <f>P7*O7</f>
        <v>10000</v>
      </c>
      <c r="R7" s="3" t="s">
        <v>79</v>
      </c>
      <c r="S7" s="5">
        <v>10000</v>
      </c>
      <c r="T7" s="6">
        <v>1</v>
      </c>
      <c r="U7" s="26">
        <f t="shared" si="4"/>
        <v>10000</v>
      </c>
      <c r="W7" s="1"/>
    </row>
    <row r="8" spans="1:23" ht="25.5" x14ac:dyDescent="0.2">
      <c r="A8" s="27" t="s">
        <v>20</v>
      </c>
      <c r="B8" s="3" t="s">
        <v>105</v>
      </c>
      <c r="C8" s="5">
        <v>100</v>
      </c>
      <c r="D8" s="6">
        <v>1</v>
      </c>
      <c r="E8" s="5">
        <f t="shared" si="2"/>
        <v>100</v>
      </c>
      <c r="F8" s="3" t="s">
        <v>105</v>
      </c>
      <c r="G8" s="5">
        <v>100</v>
      </c>
      <c r="H8" s="6">
        <v>1</v>
      </c>
      <c r="I8" s="5">
        <f t="shared" si="0"/>
        <v>100</v>
      </c>
      <c r="J8" s="3" t="s">
        <v>105</v>
      </c>
      <c r="K8" s="5">
        <v>100</v>
      </c>
      <c r="L8" s="6">
        <v>1</v>
      </c>
      <c r="M8" s="5">
        <f t="shared" si="1"/>
        <v>100</v>
      </c>
      <c r="N8" s="3" t="s">
        <v>105</v>
      </c>
      <c r="O8" s="5"/>
      <c r="P8" s="6"/>
      <c r="Q8" s="5">
        <f t="shared" si="3"/>
        <v>0</v>
      </c>
      <c r="R8" s="3" t="s">
        <v>105</v>
      </c>
      <c r="S8" s="5"/>
      <c r="T8" s="6"/>
      <c r="U8" s="26">
        <f t="shared" si="4"/>
        <v>0</v>
      </c>
    </row>
    <row r="9" spans="1:23" x14ac:dyDescent="0.2">
      <c r="A9" s="27" t="s">
        <v>21</v>
      </c>
      <c r="B9" s="3" t="s">
        <v>105</v>
      </c>
      <c r="C9" s="5">
        <v>100</v>
      </c>
      <c r="D9" s="6">
        <v>1</v>
      </c>
      <c r="E9" s="5">
        <f t="shared" si="2"/>
        <v>100</v>
      </c>
      <c r="F9" s="3" t="s">
        <v>105</v>
      </c>
      <c r="G9" s="5">
        <v>100</v>
      </c>
      <c r="H9" s="6">
        <v>1</v>
      </c>
      <c r="I9" s="5">
        <f t="shared" si="0"/>
        <v>100</v>
      </c>
      <c r="J9" s="3" t="s">
        <v>105</v>
      </c>
      <c r="K9" s="5">
        <v>100</v>
      </c>
      <c r="L9" s="6">
        <v>1</v>
      </c>
      <c r="M9" s="5">
        <f t="shared" si="1"/>
        <v>100</v>
      </c>
      <c r="N9" s="3" t="s">
        <v>105</v>
      </c>
      <c r="O9" s="5"/>
      <c r="P9" s="6"/>
      <c r="Q9" s="5">
        <f t="shared" si="3"/>
        <v>0</v>
      </c>
      <c r="R9" s="3" t="s">
        <v>105</v>
      </c>
      <c r="S9" s="5"/>
      <c r="T9" s="6"/>
      <c r="U9" s="26">
        <f t="shared" si="4"/>
        <v>0</v>
      </c>
    </row>
    <row r="10" spans="1:23" ht="38.25" x14ac:dyDescent="0.2">
      <c r="A10" s="27" t="s">
        <v>22</v>
      </c>
      <c r="B10" s="3" t="s">
        <v>105</v>
      </c>
      <c r="C10" s="5">
        <v>2000</v>
      </c>
      <c r="D10" s="6">
        <v>1</v>
      </c>
      <c r="E10" s="5">
        <f t="shared" si="2"/>
        <v>2000</v>
      </c>
      <c r="F10" s="3" t="s">
        <v>105</v>
      </c>
      <c r="G10" s="5">
        <v>2000</v>
      </c>
      <c r="H10" s="6">
        <v>1</v>
      </c>
      <c r="I10" s="5">
        <f t="shared" si="0"/>
        <v>2000</v>
      </c>
      <c r="J10" s="3" t="s">
        <v>105</v>
      </c>
      <c r="K10" s="5">
        <v>2000</v>
      </c>
      <c r="L10" s="6">
        <v>1</v>
      </c>
      <c r="M10" s="5">
        <f t="shared" si="1"/>
        <v>2000</v>
      </c>
      <c r="N10" s="3" t="s">
        <v>105</v>
      </c>
      <c r="O10" s="5">
        <v>9600</v>
      </c>
      <c r="P10" s="6">
        <v>1</v>
      </c>
      <c r="Q10" s="5">
        <f>P10*O10</f>
        <v>9600</v>
      </c>
      <c r="R10" s="3" t="s">
        <v>105</v>
      </c>
      <c r="S10" s="5">
        <v>9600</v>
      </c>
      <c r="T10" s="6">
        <v>1</v>
      </c>
      <c r="U10" s="26">
        <f t="shared" si="4"/>
        <v>9600</v>
      </c>
    </row>
    <row r="11" spans="1:23" x14ac:dyDescent="0.2">
      <c r="A11" s="27" t="s">
        <v>23</v>
      </c>
      <c r="B11" s="3" t="s">
        <v>105</v>
      </c>
      <c r="C11" s="5">
        <v>400</v>
      </c>
      <c r="D11" s="6">
        <v>1</v>
      </c>
      <c r="E11" s="5">
        <f t="shared" si="2"/>
        <v>400</v>
      </c>
      <c r="F11" s="3" t="s">
        <v>105</v>
      </c>
      <c r="G11" s="5">
        <v>400</v>
      </c>
      <c r="H11" s="6">
        <v>1</v>
      </c>
      <c r="I11" s="5">
        <f t="shared" si="0"/>
        <v>400</v>
      </c>
      <c r="J11" s="3" t="s">
        <v>105</v>
      </c>
      <c r="K11" s="5">
        <v>400</v>
      </c>
      <c r="L11" s="6">
        <v>1</v>
      </c>
      <c r="M11" s="5">
        <f t="shared" si="1"/>
        <v>400</v>
      </c>
      <c r="N11" s="3" t="s">
        <v>105</v>
      </c>
      <c r="O11" s="5"/>
      <c r="P11" s="6"/>
      <c r="Q11" s="5">
        <f t="shared" si="3"/>
        <v>0</v>
      </c>
      <c r="R11" s="3" t="s">
        <v>105</v>
      </c>
      <c r="S11" s="5"/>
      <c r="T11" s="6"/>
      <c r="U11" s="26">
        <f t="shared" si="4"/>
        <v>0</v>
      </c>
    </row>
    <row r="12" spans="1:23" ht="25.5" x14ac:dyDescent="0.2">
      <c r="A12" s="27" t="s">
        <v>24</v>
      </c>
      <c r="B12" s="3" t="s">
        <v>25</v>
      </c>
      <c r="C12" s="5">
        <v>7000</v>
      </c>
      <c r="D12" s="6">
        <v>1</v>
      </c>
      <c r="E12" s="5">
        <f t="shared" si="2"/>
        <v>7000</v>
      </c>
      <c r="F12" s="3" t="s">
        <v>26</v>
      </c>
      <c r="G12" s="5">
        <v>7500</v>
      </c>
      <c r="H12" s="6">
        <v>1</v>
      </c>
      <c r="I12" s="5">
        <f t="shared" si="0"/>
        <v>7500</v>
      </c>
      <c r="J12" s="3" t="s">
        <v>27</v>
      </c>
      <c r="K12" s="5">
        <v>8200</v>
      </c>
      <c r="L12" s="6">
        <v>1</v>
      </c>
      <c r="M12" s="5">
        <f t="shared" si="1"/>
        <v>8200</v>
      </c>
      <c r="N12" s="3" t="s">
        <v>105</v>
      </c>
      <c r="O12" s="5"/>
      <c r="P12" s="6"/>
      <c r="Q12" s="5">
        <f t="shared" si="3"/>
        <v>0</v>
      </c>
      <c r="R12" s="3" t="s">
        <v>105</v>
      </c>
      <c r="S12" s="5"/>
      <c r="T12" s="6"/>
      <c r="U12" s="26">
        <f t="shared" si="4"/>
        <v>0</v>
      </c>
    </row>
    <row r="13" spans="1:23" x14ac:dyDescent="0.2">
      <c r="A13" s="27" t="s">
        <v>28</v>
      </c>
      <c r="B13" s="3" t="s">
        <v>105</v>
      </c>
      <c r="C13" s="5">
        <v>800</v>
      </c>
      <c r="D13" s="6">
        <v>1</v>
      </c>
      <c r="E13" s="5">
        <f t="shared" si="2"/>
        <v>800</v>
      </c>
      <c r="F13" s="3" t="s">
        <v>105</v>
      </c>
      <c r="G13" s="5">
        <v>1000</v>
      </c>
      <c r="H13" s="6">
        <v>1</v>
      </c>
      <c r="I13" s="5">
        <f t="shared" si="0"/>
        <v>1000</v>
      </c>
      <c r="J13" s="3" t="s">
        <v>105</v>
      </c>
      <c r="K13" s="5">
        <v>1200</v>
      </c>
      <c r="L13" s="6">
        <v>1</v>
      </c>
      <c r="M13" s="5">
        <f t="shared" si="1"/>
        <v>1200</v>
      </c>
      <c r="N13" s="3" t="s">
        <v>105</v>
      </c>
      <c r="O13" s="5"/>
      <c r="P13" s="6"/>
      <c r="Q13" s="5">
        <f t="shared" si="3"/>
        <v>0</v>
      </c>
      <c r="R13" s="3" t="s">
        <v>105</v>
      </c>
      <c r="S13" s="5"/>
      <c r="T13" s="6"/>
      <c r="U13" s="26">
        <f t="shared" si="4"/>
        <v>0</v>
      </c>
    </row>
    <row r="14" spans="1:23" ht="25.5" x14ac:dyDescent="0.2">
      <c r="A14" s="27" t="s">
        <v>64</v>
      </c>
      <c r="B14" s="3" t="s">
        <v>105</v>
      </c>
      <c r="C14" s="5"/>
      <c r="D14" s="6"/>
      <c r="E14" s="5"/>
      <c r="F14" s="3" t="s">
        <v>105</v>
      </c>
      <c r="G14" s="5"/>
      <c r="H14" s="6"/>
      <c r="I14" s="5"/>
      <c r="J14" s="3" t="s">
        <v>105</v>
      </c>
      <c r="K14" s="5"/>
      <c r="L14" s="6"/>
      <c r="M14" s="5"/>
      <c r="N14" s="3" t="s">
        <v>105</v>
      </c>
      <c r="O14" s="5">
        <v>9000</v>
      </c>
      <c r="P14" s="6">
        <v>1</v>
      </c>
      <c r="Q14" s="5">
        <f>P14*O14</f>
        <v>9000</v>
      </c>
      <c r="R14" s="3" t="s">
        <v>105</v>
      </c>
      <c r="S14" s="5">
        <v>9000</v>
      </c>
      <c r="T14" s="6">
        <v>1</v>
      </c>
      <c r="U14" s="26">
        <f>T14*S14</f>
        <v>9000</v>
      </c>
    </row>
    <row r="15" spans="1:23" ht="25.5" x14ac:dyDescent="0.25">
      <c r="A15" s="27" t="s">
        <v>78</v>
      </c>
      <c r="B15" s="3" t="s">
        <v>105</v>
      </c>
      <c r="C15" s="5"/>
      <c r="D15" s="6"/>
      <c r="E15" s="5"/>
      <c r="F15" s="3" t="s">
        <v>105</v>
      </c>
      <c r="G15" s="5"/>
      <c r="H15" s="6"/>
      <c r="I15" s="5"/>
      <c r="J15" s="3" t="s">
        <v>105</v>
      </c>
      <c r="K15" s="5"/>
      <c r="L15" s="6"/>
      <c r="M15" s="5"/>
      <c r="N15" s="3" t="s">
        <v>80</v>
      </c>
      <c r="O15" s="5">
        <v>10000</v>
      </c>
      <c r="P15" s="6">
        <v>1</v>
      </c>
      <c r="Q15" s="5">
        <f>P15*O15</f>
        <v>10000</v>
      </c>
      <c r="R15" s="3" t="s">
        <v>80</v>
      </c>
      <c r="S15" s="5">
        <v>10000</v>
      </c>
      <c r="T15" s="6">
        <v>1</v>
      </c>
      <c r="U15" s="26">
        <f>T15*S15</f>
        <v>10000</v>
      </c>
      <c r="W15" s="1"/>
    </row>
    <row r="16" spans="1:23" x14ac:dyDescent="0.2">
      <c r="A16" s="28" t="s">
        <v>29</v>
      </c>
      <c r="B16" s="7"/>
      <c r="C16" s="8">
        <f>SUM(C4:C13)</f>
        <v>19800</v>
      </c>
      <c r="D16" s="9"/>
      <c r="E16" s="8">
        <f>SUM(E4:E13)</f>
        <v>19800</v>
      </c>
      <c r="F16" s="7"/>
      <c r="G16" s="8">
        <f>SUM(G4:G13)</f>
        <v>22400</v>
      </c>
      <c r="H16" s="9"/>
      <c r="I16" s="8">
        <f>SUM(I4:I13)</f>
        <v>22400</v>
      </c>
      <c r="J16" s="7"/>
      <c r="K16" s="8">
        <f>SUM(K4:K13)</f>
        <v>23800</v>
      </c>
      <c r="L16" s="9"/>
      <c r="M16" s="8">
        <f>SUM(M4:M13)</f>
        <v>23800</v>
      </c>
      <c r="N16" s="7"/>
      <c r="O16" s="8">
        <f>SUM(O4:O15)</f>
        <v>46000</v>
      </c>
      <c r="P16" s="9"/>
      <c r="Q16" s="8">
        <f>SUM(Q4:Q15)</f>
        <v>46000</v>
      </c>
      <c r="R16" s="7"/>
      <c r="S16" s="8">
        <f>SUM(S4:S15)</f>
        <v>48000</v>
      </c>
      <c r="T16" s="9"/>
      <c r="U16" s="42">
        <f>SUM(U4:U15)</f>
        <v>48000</v>
      </c>
    </row>
    <row r="17" spans="1:23" ht="15" x14ac:dyDescent="0.25">
      <c r="A17" s="29"/>
      <c r="B17" s="10"/>
      <c r="C17" s="10"/>
      <c r="D17" s="11"/>
      <c r="E17" s="10"/>
      <c r="F17" s="10"/>
      <c r="G17" s="10"/>
      <c r="H17" s="11"/>
      <c r="I17" s="10"/>
      <c r="J17" s="10"/>
      <c r="K17" s="10"/>
      <c r="L17" s="11"/>
      <c r="M17" s="10"/>
      <c r="N17" s="10"/>
      <c r="O17" s="10"/>
      <c r="P17" s="11"/>
      <c r="Q17" s="10"/>
      <c r="R17" s="10"/>
      <c r="S17" s="10"/>
      <c r="T17" s="11"/>
      <c r="U17" s="30"/>
      <c r="W17" s="1" t="s">
        <v>0</v>
      </c>
    </row>
    <row r="18" spans="1:23" x14ac:dyDescent="0.2">
      <c r="A18" s="27" t="s">
        <v>31</v>
      </c>
      <c r="B18" s="3" t="s">
        <v>105</v>
      </c>
      <c r="C18" s="5">
        <v>300</v>
      </c>
      <c r="D18" s="6">
        <v>1</v>
      </c>
      <c r="E18" s="5">
        <f t="shared" ref="E18:E28" si="5">C18*D18</f>
        <v>300</v>
      </c>
      <c r="F18" s="3" t="s">
        <v>105</v>
      </c>
      <c r="G18" s="5">
        <v>300</v>
      </c>
      <c r="H18" s="6">
        <v>1</v>
      </c>
      <c r="I18" s="5">
        <f t="shared" ref="I18:I28" si="6">G18*H18</f>
        <v>300</v>
      </c>
      <c r="J18" s="3" t="s">
        <v>105</v>
      </c>
      <c r="K18" s="5">
        <v>300</v>
      </c>
      <c r="L18" s="6">
        <v>1</v>
      </c>
      <c r="M18" s="5">
        <f t="shared" ref="M18:M28" si="7">K18*L18</f>
        <v>300</v>
      </c>
      <c r="N18" s="3" t="s">
        <v>105</v>
      </c>
      <c r="O18" s="5"/>
      <c r="P18" s="6"/>
      <c r="Q18" s="5"/>
      <c r="R18" s="3" t="s">
        <v>105</v>
      </c>
      <c r="S18" s="5"/>
      <c r="T18" s="6"/>
      <c r="U18" s="26"/>
      <c r="W18" s="2" t="s">
        <v>1</v>
      </c>
    </row>
    <row r="19" spans="1:23" x14ac:dyDescent="0.2">
      <c r="A19" s="31" t="s">
        <v>32</v>
      </c>
      <c r="B19" s="3" t="s">
        <v>105</v>
      </c>
      <c r="C19" s="5">
        <v>300</v>
      </c>
      <c r="D19" s="6">
        <v>1</v>
      </c>
      <c r="E19" s="5">
        <f t="shared" si="5"/>
        <v>300</v>
      </c>
      <c r="F19" s="3" t="s">
        <v>105</v>
      </c>
      <c r="G19" s="5">
        <v>300</v>
      </c>
      <c r="H19" s="6">
        <v>1</v>
      </c>
      <c r="I19" s="5">
        <f t="shared" si="6"/>
        <v>300</v>
      </c>
      <c r="J19" s="3" t="s">
        <v>105</v>
      </c>
      <c r="K19" s="5">
        <v>300</v>
      </c>
      <c r="L19" s="6">
        <v>1</v>
      </c>
      <c r="M19" s="5">
        <f t="shared" si="7"/>
        <v>300</v>
      </c>
      <c r="N19" s="3" t="s">
        <v>105</v>
      </c>
      <c r="O19" s="5">
        <v>150</v>
      </c>
      <c r="P19" s="6">
        <v>1</v>
      </c>
      <c r="Q19" s="5">
        <f t="shared" ref="Q19:Q25" si="8">P19*O19</f>
        <v>150</v>
      </c>
      <c r="R19" s="3" t="s">
        <v>105</v>
      </c>
      <c r="S19" s="5">
        <v>150</v>
      </c>
      <c r="T19" s="6">
        <v>1</v>
      </c>
      <c r="U19" s="26">
        <f>T19*S19</f>
        <v>150</v>
      </c>
      <c r="W19" s="2" t="s">
        <v>3</v>
      </c>
    </row>
    <row r="20" spans="1:23" ht="25.5" x14ac:dyDescent="0.2">
      <c r="A20" s="27" t="s">
        <v>33</v>
      </c>
      <c r="B20" s="12" t="s">
        <v>105</v>
      </c>
      <c r="C20" s="13">
        <v>2000</v>
      </c>
      <c r="D20" s="14">
        <v>1</v>
      </c>
      <c r="E20" s="13">
        <f t="shared" si="5"/>
        <v>2000</v>
      </c>
      <c r="F20" s="12" t="s">
        <v>105</v>
      </c>
      <c r="G20" s="13">
        <v>2000</v>
      </c>
      <c r="H20" s="14">
        <v>1</v>
      </c>
      <c r="I20" s="13">
        <f t="shared" si="6"/>
        <v>2000</v>
      </c>
      <c r="J20" s="12" t="s">
        <v>105</v>
      </c>
      <c r="K20" s="13">
        <v>2000</v>
      </c>
      <c r="L20" s="14">
        <v>1</v>
      </c>
      <c r="M20" s="13">
        <f t="shared" si="7"/>
        <v>2000</v>
      </c>
      <c r="N20" s="12" t="s">
        <v>70</v>
      </c>
      <c r="O20" s="13">
        <v>4000</v>
      </c>
      <c r="P20" s="14">
        <v>1</v>
      </c>
      <c r="Q20" s="13">
        <f t="shared" si="8"/>
        <v>4000</v>
      </c>
      <c r="R20" s="12" t="s">
        <v>70</v>
      </c>
      <c r="S20" s="13">
        <v>4000</v>
      </c>
      <c r="T20" s="14">
        <v>1</v>
      </c>
      <c r="U20" s="26">
        <f t="shared" ref="U20:U28" si="9">T20*S20</f>
        <v>4000</v>
      </c>
      <c r="W20" s="2" t="s">
        <v>2</v>
      </c>
    </row>
    <row r="21" spans="1:23" ht="25.5" x14ac:dyDescent="0.2">
      <c r="A21" s="27" t="s">
        <v>99</v>
      </c>
      <c r="B21" s="3" t="s">
        <v>98</v>
      </c>
      <c r="C21" s="5">
        <v>1900</v>
      </c>
      <c r="D21" s="6">
        <v>1</v>
      </c>
      <c r="E21" s="5">
        <f t="shared" si="5"/>
        <v>1900</v>
      </c>
      <c r="F21" s="3" t="s">
        <v>98</v>
      </c>
      <c r="G21" s="5">
        <v>1900</v>
      </c>
      <c r="H21" s="6">
        <v>1</v>
      </c>
      <c r="I21" s="5">
        <f t="shared" si="6"/>
        <v>1900</v>
      </c>
      <c r="J21" s="3" t="s">
        <v>98</v>
      </c>
      <c r="K21" s="5">
        <v>1900</v>
      </c>
      <c r="L21" s="6">
        <v>1</v>
      </c>
      <c r="M21" s="5">
        <f t="shared" si="7"/>
        <v>1900</v>
      </c>
      <c r="N21" s="3" t="s">
        <v>95</v>
      </c>
      <c r="O21" s="5">
        <v>4000</v>
      </c>
      <c r="P21" s="6">
        <v>1</v>
      </c>
      <c r="Q21" s="5">
        <f t="shared" si="8"/>
        <v>4000</v>
      </c>
      <c r="R21" s="3" t="s">
        <v>95</v>
      </c>
      <c r="S21" s="5">
        <v>4000</v>
      </c>
      <c r="T21" s="6">
        <v>1</v>
      </c>
      <c r="U21" s="26">
        <f>T21*S21</f>
        <v>4000</v>
      </c>
    </row>
    <row r="22" spans="1:23" ht="15" x14ac:dyDescent="0.25">
      <c r="A22" s="27" t="s">
        <v>96</v>
      </c>
      <c r="B22" s="3" t="s">
        <v>97</v>
      </c>
      <c r="C22" s="5">
        <v>3600</v>
      </c>
      <c r="D22" s="6">
        <v>1</v>
      </c>
      <c r="E22" s="5">
        <f t="shared" si="5"/>
        <v>3600</v>
      </c>
      <c r="F22" s="3" t="s">
        <v>97</v>
      </c>
      <c r="G22" s="5">
        <v>3600</v>
      </c>
      <c r="H22" s="6">
        <v>1</v>
      </c>
      <c r="I22" s="5">
        <f t="shared" si="6"/>
        <v>3600</v>
      </c>
      <c r="J22" s="3" t="s">
        <v>97</v>
      </c>
      <c r="K22" s="5">
        <v>3600</v>
      </c>
      <c r="L22" s="6">
        <v>1</v>
      </c>
      <c r="M22" s="5">
        <f t="shared" si="7"/>
        <v>3600</v>
      </c>
      <c r="N22" s="3" t="s">
        <v>69</v>
      </c>
      <c r="O22" s="5">
        <v>7000</v>
      </c>
      <c r="P22" s="6">
        <v>1</v>
      </c>
      <c r="Q22" s="5">
        <f t="shared" si="8"/>
        <v>7000</v>
      </c>
      <c r="R22" s="3" t="s">
        <v>69</v>
      </c>
      <c r="S22" s="5">
        <v>7000</v>
      </c>
      <c r="T22" s="6">
        <v>1</v>
      </c>
      <c r="U22" s="26">
        <f>T22*S22</f>
        <v>7000</v>
      </c>
      <c r="W22" s="1" t="s">
        <v>5</v>
      </c>
    </row>
    <row r="23" spans="1:23" x14ac:dyDescent="0.2">
      <c r="A23" s="27" t="s">
        <v>34</v>
      </c>
      <c r="B23" s="3" t="s">
        <v>105</v>
      </c>
      <c r="C23" s="5">
        <v>600</v>
      </c>
      <c r="D23" s="6">
        <v>1</v>
      </c>
      <c r="E23" s="5">
        <f t="shared" si="5"/>
        <v>600</v>
      </c>
      <c r="F23" s="3" t="s">
        <v>105</v>
      </c>
      <c r="G23" s="5">
        <v>600</v>
      </c>
      <c r="H23" s="6">
        <v>1</v>
      </c>
      <c r="I23" s="5">
        <f t="shared" si="6"/>
        <v>600</v>
      </c>
      <c r="J23" s="3" t="s">
        <v>105</v>
      </c>
      <c r="K23" s="5">
        <v>600</v>
      </c>
      <c r="L23" s="6">
        <v>1</v>
      </c>
      <c r="M23" s="5">
        <f t="shared" si="7"/>
        <v>600</v>
      </c>
      <c r="N23" s="3" t="s">
        <v>105</v>
      </c>
      <c r="O23" s="5">
        <v>600</v>
      </c>
      <c r="P23" s="6">
        <v>1</v>
      </c>
      <c r="Q23" s="5">
        <f t="shared" si="8"/>
        <v>600</v>
      </c>
      <c r="R23" s="3" t="s">
        <v>105</v>
      </c>
      <c r="S23" s="5">
        <v>600</v>
      </c>
      <c r="T23" s="6">
        <v>1</v>
      </c>
      <c r="U23" s="26">
        <f t="shared" si="9"/>
        <v>600</v>
      </c>
      <c r="W23" s="2" t="s">
        <v>6</v>
      </c>
    </row>
    <row r="24" spans="1:23" ht="51" x14ac:dyDescent="0.2">
      <c r="A24" s="32" t="s">
        <v>35</v>
      </c>
      <c r="B24" s="3" t="s">
        <v>105</v>
      </c>
      <c r="C24" s="5">
        <v>4000</v>
      </c>
      <c r="D24" s="6">
        <v>1</v>
      </c>
      <c r="E24" s="5">
        <f t="shared" si="5"/>
        <v>4000</v>
      </c>
      <c r="F24" s="3" t="s">
        <v>105</v>
      </c>
      <c r="G24" s="5">
        <v>4000</v>
      </c>
      <c r="H24" s="6">
        <v>1</v>
      </c>
      <c r="I24" s="5">
        <f t="shared" si="6"/>
        <v>4000</v>
      </c>
      <c r="J24" s="3" t="s">
        <v>105</v>
      </c>
      <c r="K24" s="5">
        <v>4000</v>
      </c>
      <c r="L24" s="6">
        <v>1</v>
      </c>
      <c r="M24" s="5">
        <f t="shared" si="7"/>
        <v>4000</v>
      </c>
      <c r="N24" s="3" t="s">
        <v>93</v>
      </c>
      <c r="O24" s="5">
        <v>3200</v>
      </c>
      <c r="P24" s="6">
        <v>3</v>
      </c>
      <c r="Q24" s="5">
        <f>P24*O24</f>
        <v>9600</v>
      </c>
      <c r="R24" s="3" t="s">
        <v>94</v>
      </c>
      <c r="S24" s="5">
        <v>3200</v>
      </c>
      <c r="T24" s="6">
        <v>5</v>
      </c>
      <c r="U24" s="26">
        <f t="shared" si="9"/>
        <v>16000</v>
      </c>
      <c r="W24" s="2" t="s">
        <v>9</v>
      </c>
    </row>
    <row r="25" spans="1:23" ht="25.5" x14ac:dyDescent="0.2">
      <c r="A25" s="27" t="s">
        <v>30</v>
      </c>
      <c r="B25" s="12" t="s">
        <v>36</v>
      </c>
      <c r="C25" s="13">
        <v>6000</v>
      </c>
      <c r="D25" s="14">
        <v>1</v>
      </c>
      <c r="E25" s="13">
        <f t="shared" si="5"/>
        <v>6000</v>
      </c>
      <c r="F25" s="12" t="s">
        <v>36</v>
      </c>
      <c r="G25" s="13">
        <v>7000</v>
      </c>
      <c r="H25" s="14">
        <v>1</v>
      </c>
      <c r="I25" s="13">
        <f t="shared" si="6"/>
        <v>7000</v>
      </c>
      <c r="J25" s="15" t="s">
        <v>37</v>
      </c>
      <c r="K25" s="13">
        <v>8500</v>
      </c>
      <c r="L25" s="14">
        <v>1</v>
      </c>
      <c r="M25" s="13">
        <f t="shared" si="7"/>
        <v>8500</v>
      </c>
      <c r="N25" s="12" t="s">
        <v>74</v>
      </c>
      <c r="O25" s="13">
        <v>8000</v>
      </c>
      <c r="P25" s="14">
        <v>2</v>
      </c>
      <c r="Q25" s="13">
        <f t="shared" si="8"/>
        <v>16000</v>
      </c>
      <c r="R25" s="12" t="s">
        <v>75</v>
      </c>
      <c r="S25" s="13">
        <v>8000</v>
      </c>
      <c r="T25" s="14">
        <v>3</v>
      </c>
      <c r="U25" s="26">
        <f t="shared" si="9"/>
        <v>24000</v>
      </c>
      <c r="W25" s="2" t="s">
        <v>12</v>
      </c>
    </row>
    <row r="26" spans="1:23" x14ac:dyDescent="0.2">
      <c r="A26" s="27" t="s">
        <v>38</v>
      </c>
      <c r="B26" s="12" t="s">
        <v>105</v>
      </c>
      <c r="C26" s="13">
        <v>600</v>
      </c>
      <c r="D26" s="14">
        <v>1</v>
      </c>
      <c r="E26" s="13">
        <f t="shared" si="5"/>
        <v>600</v>
      </c>
      <c r="F26" s="12" t="s">
        <v>105</v>
      </c>
      <c r="G26" s="13">
        <v>600</v>
      </c>
      <c r="H26" s="14">
        <v>1</v>
      </c>
      <c r="I26" s="13">
        <f t="shared" si="6"/>
        <v>600</v>
      </c>
      <c r="J26" s="12" t="s">
        <v>105</v>
      </c>
      <c r="K26" s="13">
        <v>600</v>
      </c>
      <c r="L26" s="14">
        <v>1</v>
      </c>
      <c r="M26" s="13">
        <f t="shared" si="7"/>
        <v>600</v>
      </c>
      <c r="N26" s="12" t="s">
        <v>105</v>
      </c>
      <c r="O26" s="13"/>
      <c r="P26" s="14"/>
      <c r="Q26" s="13"/>
      <c r="R26" s="12" t="s">
        <v>105</v>
      </c>
      <c r="S26" s="13"/>
      <c r="T26" s="14"/>
      <c r="U26" s="26">
        <f t="shared" si="9"/>
        <v>0</v>
      </c>
      <c r="W26" s="2" t="s">
        <v>57</v>
      </c>
    </row>
    <row r="27" spans="1:23" x14ac:dyDescent="0.2">
      <c r="A27" s="27" t="s">
        <v>39</v>
      </c>
      <c r="B27" s="12" t="s">
        <v>105</v>
      </c>
      <c r="C27" s="13">
        <v>1500</v>
      </c>
      <c r="D27" s="14">
        <v>1</v>
      </c>
      <c r="E27" s="13">
        <f t="shared" si="5"/>
        <v>1500</v>
      </c>
      <c r="F27" s="12" t="s">
        <v>105</v>
      </c>
      <c r="G27" s="13">
        <v>1500</v>
      </c>
      <c r="H27" s="14">
        <v>1</v>
      </c>
      <c r="I27" s="13">
        <f t="shared" si="6"/>
        <v>1500</v>
      </c>
      <c r="J27" s="12" t="s">
        <v>105</v>
      </c>
      <c r="K27" s="13">
        <v>1500</v>
      </c>
      <c r="L27" s="14">
        <v>1</v>
      </c>
      <c r="M27" s="13">
        <f t="shared" si="7"/>
        <v>1500</v>
      </c>
      <c r="N27" s="12" t="s">
        <v>105</v>
      </c>
      <c r="O27" s="13"/>
      <c r="P27" s="14"/>
      <c r="Q27" s="13"/>
      <c r="R27" s="12" t="s">
        <v>105</v>
      </c>
      <c r="S27" s="13"/>
      <c r="T27" s="14"/>
      <c r="U27" s="26">
        <f t="shared" si="9"/>
        <v>0</v>
      </c>
      <c r="W27" s="2" t="s">
        <v>58</v>
      </c>
    </row>
    <row r="28" spans="1:23" x14ac:dyDescent="0.2">
      <c r="A28" s="27" t="s">
        <v>40</v>
      </c>
      <c r="B28" s="3" t="s">
        <v>105</v>
      </c>
      <c r="C28" s="5">
        <v>2500</v>
      </c>
      <c r="D28" s="6">
        <v>1</v>
      </c>
      <c r="E28" s="5">
        <f t="shared" si="5"/>
        <v>2500</v>
      </c>
      <c r="F28" s="3" t="s">
        <v>105</v>
      </c>
      <c r="G28" s="5">
        <v>2500</v>
      </c>
      <c r="H28" s="6">
        <v>1</v>
      </c>
      <c r="I28" s="5">
        <f t="shared" si="6"/>
        <v>2500</v>
      </c>
      <c r="J28" s="3" t="s">
        <v>105</v>
      </c>
      <c r="K28" s="5">
        <v>2500</v>
      </c>
      <c r="L28" s="6">
        <v>1</v>
      </c>
      <c r="M28" s="5">
        <f t="shared" si="7"/>
        <v>2500</v>
      </c>
      <c r="N28" s="3" t="s">
        <v>105</v>
      </c>
      <c r="O28" s="5"/>
      <c r="P28" s="6"/>
      <c r="Q28" s="5"/>
      <c r="R28" s="3" t="s">
        <v>105</v>
      </c>
      <c r="S28" s="5"/>
      <c r="T28" s="6"/>
      <c r="U28" s="26">
        <f t="shared" si="9"/>
        <v>0</v>
      </c>
    </row>
    <row r="29" spans="1:23" ht="38.25" x14ac:dyDescent="0.2">
      <c r="A29" s="27" t="s">
        <v>71</v>
      </c>
      <c r="B29" s="12" t="s">
        <v>105</v>
      </c>
      <c r="C29" s="13"/>
      <c r="D29" s="14"/>
      <c r="E29" s="13"/>
      <c r="F29" s="12" t="s">
        <v>105</v>
      </c>
      <c r="G29" s="13"/>
      <c r="H29" s="14"/>
      <c r="I29" s="13"/>
      <c r="J29" s="12" t="s">
        <v>105</v>
      </c>
      <c r="K29" s="13"/>
      <c r="L29" s="14"/>
      <c r="M29" s="13"/>
      <c r="N29" s="12" t="s">
        <v>72</v>
      </c>
      <c r="O29" s="13">
        <v>6500</v>
      </c>
      <c r="P29" s="14">
        <v>2</v>
      </c>
      <c r="Q29" s="13">
        <f>P29*O29</f>
        <v>13000</v>
      </c>
      <c r="R29" s="12" t="s">
        <v>73</v>
      </c>
      <c r="S29" s="13">
        <v>6500</v>
      </c>
      <c r="T29" s="14">
        <v>3</v>
      </c>
      <c r="U29" s="26">
        <f>T29*S29</f>
        <v>19500</v>
      </c>
      <c r="W29" s="2"/>
    </row>
    <row r="30" spans="1:23" ht="25.5" x14ac:dyDescent="0.2">
      <c r="A30" s="27" t="s">
        <v>63</v>
      </c>
      <c r="B30" s="3" t="s">
        <v>105</v>
      </c>
      <c r="C30" s="5"/>
      <c r="D30" s="6"/>
      <c r="E30" s="5"/>
      <c r="F30" s="3" t="s">
        <v>105</v>
      </c>
      <c r="G30" s="5"/>
      <c r="H30" s="6"/>
      <c r="I30" s="5"/>
      <c r="J30" s="3" t="s">
        <v>105</v>
      </c>
      <c r="K30" s="5"/>
      <c r="L30" s="6"/>
      <c r="M30" s="5"/>
      <c r="N30" s="3" t="s">
        <v>105</v>
      </c>
      <c r="O30" s="5">
        <v>4000</v>
      </c>
      <c r="P30" s="6">
        <v>1</v>
      </c>
      <c r="Q30" s="5">
        <f>P30*O30</f>
        <v>4000</v>
      </c>
      <c r="R30" s="3" t="s">
        <v>105</v>
      </c>
      <c r="S30" s="5">
        <v>5000</v>
      </c>
      <c r="T30" s="6">
        <v>1</v>
      </c>
      <c r="U30" s="26">
        <f>T30*S30</f>
        <v>5000</v>
      </c>
    </row>
    <row r="31" spans="1:23" x14ac:dyDescent="0.2">
      <c r="A31" s="27" t="s">
        <v>62</v>
      </c>
      <c r="B31" s="3" t="s">
        <v>105</v>
      </c>
      <c r="C31" s="5"/>
      <c r="D31" s="6"/>
      <c r="E31" s="5"/>
      <c r="F31" s="3" t="s">
        <v>105</v>
      </c>
      <c r="G31" s="5"/>
      <c r="H31" s="6"/>
      <c r="I31" s="5"/>
      <c r="J31" s="3" t="s">
        <v>105</v>
      </c>
      <c r="K31" s="5"/>
      <c r="L31" s="6"/>
      <c r="M31" s="5"/>
      <c r="N31" s="3" t="s">
        <v>91</v>
      </c>
      <c r="O31" s="5">
        <v>600</v>
      </c>
      <c r="P31" s="6">
        <v>6</v>
      </c>
      <c r="Q31" s="5">
        <f>P31*O31</f>
        <v>3600</v>
      </c>
      <c r="R31" s="3" t="s">
        <v>92</v>
      </c>
      <c r="S31" s="5">
        <v>600</v>
      </c>
      <c r="T31" s="6">
        <v>9</v>
      </c>
      <c r="U31" s="26">
        <f>T31*S31</f>
        <v>5400</v>
      </c>
    </row>
    <row r="32" spans="1:23" ht="15" x14ac:dyDescent="0.25">
      <c r="A32" s="33" t="s">
        <v>41</v>
      </c>
      <c r="B32" s="7"/>
      <c r="C32" s="8">
        <f>SUM(C18:C28)</f>
        <v>23300</v>
      </c>
      <c r="D32" s="9"/>
      <c r="E32" s="8">
        <f>SUM(E18:E28)</f>
        <v>23300</v>
      </c>
      <c r="F32" s="7"/>
      <c r="G32" s="8">
        <f>SUM(G18:G28)</f>
        <v>24300</v>
      </c>
      <c r="H32" s="9"/>
      <c r="I32" s="8">
        <f>SUM(I18:I28)</f>
        <v>24300</v>
      </c>
      <c r="J32" s="7"/>
      <c r="K32" s="8">
        <f>SUM(K18:K28)</f>
        <v>25800</v>
      </c>
      <c r="L32" s="9"/>
      <c r="M32" s="8">
        <f>SUM(M18:M28)</f>
        <v>25800</v>
      </c>
      <c r="N32" s="7"/>
      <c r="O32" s="8">
        <f>SUM(O18:O31)</f>
        <v>38050</v>
      </c>
      <c r="P32" s="9"/>
      <c r="Q32" s="8">
        <f>SUM(Q18:Q31)</f>
        <v>61950</v>
      </c>
      <c r="R32" s="7"/>
      <c r="S32" s="8">
        <f>SUM(S18:S31)</f>
        <v>39050</v>
      </c>
      <c r="T32" s="9"/>
      <c r="U32" s="42">
        <f>SUM(U18:U31)</f>
        <v>85650</v>
      </c>
      <c r="W32" s="1" t="s">
        <v>59</v>
      </c>
    </row>
    <row r="33" spans="1:23" x14ac:dyDescent="0.2">
      <c r="A33" s="29"/>
      <c r="B33" s="10"/>
      <c r="C33" s="10"/>
      <c r="D33" s="11"/>
      <c r="E33" s="10"/>
      <c r="F33" s="10"/>
      <c r="G33" s="10"/>
      <c r="H33" s="11"/>
      <c r="I33" s="10"/>
      <c r="J33" s="10"/>
      <c r="K33" s="10"/>
      <c r="L33" s="11"/>
      <c r="M33" s="10"/>
      <c r="N33" s="10"/>
      <c r="O33" s="10"/>
      <c r="P33" s="11"/>
      <c r="Q33" s="10"/>
      <c r="R33" s="10"/>
      <c r="S33" s="10"/>
      <c r="T33" s="11"/>
      <c r="U33" s="30"/>
      <c r="W33" s="2" t="s">
        <v>60</v>
      </c>
    </row>
    <row r="34" spans="1:23" x14ac:dyDescent="0.2">
      <c r="A34" s="34" t="s">
        <v>42</v>
      </c>
      <c r="B34" s="3" t="s">
        <v>105</v>
      </c>
      <c r="C34" s="5">
        <v>500</v>
      </c>
      <c r="D34" s="6">
        <v>1</v>
      </c>
      <c r="E34" s="5">
        <f t="shared" ref="E34:E43" si="10">C34*D34</f>
        <v>500</v>
      </c>
      <c r="F34" s="3" t="s">
        <v>105</v>
      </c>
      <c r="G34" s="5">
        <v>500</v>
      </c>
      <c r="H34" s="6">
        <v>1</v>
      </c>
      <c r="I34" s="5">
        <f t="shared" ref="I34:I43" si="11">G34*H34</f>
        <v>500</v>
      </c>
      <c r="J34" s="3" t="s">
        <v>105</v>
      </c>
      <c r="K34" s="5">
        <v>500</v>
      </c>
      <c r="L34" s="6">
        <v>1</v>
      </c>
      <c r="M34" s="5">
        <f t="shared" ref="M34:M43" si="12">K34*L34</f>
        <v>500</v>
      </c>
      <c r="N34" s="3" t="s">
        <v>105</v>
      </c>
      <c r="O34" s="5">
        <v>500</v>
      </c>
      <c r="P34" s="6">
        <v>1</v>
      </c>
      <c r="Q34" s="5">
        <f>P34*O34</f>
        <v>500</v>
      </c>
      <c r="R34" s="3" t="s">
        <v>105</v>
      </c>
      <c r="S34" s="5">
        <v>500</v>
      </c>
      <c r="T34" s="6">
        <v>1</v>
      </c>
      <c r="U34" s="26">
        <f>T34*S34</f>
        <v>500</v>
      </c>
      <c r="W34" s="2" t="s">
        <v>61</v>
      </c>
    </row>
    <row r="35" spans="1:23" ht="38.25" x14ac:dyDescent="0.2">
      <c r="A35" s="27" t="s">
        <v>83</v>
      </c>
      <c r="B35" s="3" t="s">
        <v>105</v>
      </c>
      <c r="C35" s="5">
        <v>1700</v>
      </c>
      <c r="D35" s="6">
        <v>1</v>
      </c>
      <c r="E35" s="5">
        <f t="shared" si="10"/>
        <v>1700</v>
      </c>
      <c r="F35" s="3" t="s">
        <v>105</v>
      </c>
      <c r="G35" s="5">
        <v>1700</v>
      </c>
      <c r="H35" s="6">
        <v>1</v>
      </c>
      <c r="I35" s="5">
        <f t="shared" si="11"/>
        <v>1700</v>
      </c>
      <c r="J35" s="3" t="s">
        <v>105</v>
      </c>
      <c r="K35" s="5">
        <v>1700</v>
      </c>
      <c r="L35" s="6">
        <v>1</v>
      </c>
      <c r="M35" s="5">
        <f t="shared" si="12"/>
        <v>1700</v>
      </c>
      <c r="N35" s="3" t="s">
        <v>85</v>
      </c>
      <c r="O35" s="5">
        <v>9500</v>
      </c>
      <c r="P35" s="6">
        <v>1</v>
      </c>
      <c r="Q35" s="5">
        <f>P35*O35</f>
        <v>9500</v>
      </c>
      <c r="R35" s="3" t="s">
        <v>85</v>
      </c>
      <c r="S35" s="5">
        <v>9500</v>
      </c>
      <c r="T35" s="6">
        <v>1</v>
      </c>
      <c r="U35" s="26">
        <f>T35*S35</f>
        <v>9500</v>
      </c>
      <c r="W35" s="2" t="s">
        <v>101</v>
      </c>
    </row>
    <row r="36" spans="1:23" ht="25.5" x14ac:dyDescent="0.2">
      <c r="A36" s="27" t="s">
        <v>43</v>
      </c>
      <c r="B36" s="3" t="s">
        <v>105</v>
      </c>
      <c r="C36" s="5">
        <v>400</v>
      </c>
      <c r="D36" s="6">
        <v>1</v>
      </c>
      <c r="E36" s="5">
        <f t="shared" si="10"/>
        <v>400</v>
      </c>
      <c r="F36" s="3" t="s">
        <v>105</v>
      </c>
      <c r="G36" s="5">
        <v>400</v>
      </c>
      <c r="H36" s="6">
        <v>1</v>
      </c>
      <c r="I36" s="5">
        <f t="shared" si="11"/>
        <v>400</v>
      </c>
      <c r="J36" s="3" t="s">
        <v>105</v>
      </c>
      <c r="K36" s="5">
        <v>400</v>
      </c>
      <c r="L36" s="6">
        <v>1</v>
      </c>
      <c r="M36" s="5">
        <f t="shared" si="12"/>
        <v>400</v>
      </c>
      <c r="N36" s="3" t="s">
        <v>65</v>
      </c>
      <c r="O36" s="5">
        <v>1200</v>
      </c>
      <c r="P36" s="6">
        <v>1</v>
      </c>
      <c r="Q36" s="5">
        <f>P36*O36</f>
        <v>1200</v>
      </c>
      <c r="R36" s="3" t="s">
        <v>65</v>
      </c>
      <c r="S36" s="5">
        <v>1200</v>
      </c>
      <c r="T36" s="6">
        <v>1</v>
      </c>
      <c r="U36" s="26">
        <f>T36*S36</f>
        <v>1200</v>
      </c>
    </row>
    <row r="37" spans="1:23" ht="25.5" customHeight="1" x14ac:dyDescent="0.2">
      <c r="A37" s="27" t="s">
        <v>44</v>
      </c>
      <c r="B37" s="3" t="s">
        <v>45</v>
      </c>
      <c r="C37" s="5">
        <v>2200</v>
      </c>
      <c r="D37" s="6">
        <v>1</v>
      </c>
      <c r="E37" s="5">
        <f t="shared" si="10"/>
        <v>2200</v>
      </c>
      <c r="F37" s="3" t="s">
        <v>45</v>
      </c>
      <c r="G37" s="5">
        <v>2200</v>
      </c>
      <c r="H37" s="6">
        <v>1</v>
      </c>
      <c r="I37" s="5">
        <f t="shared" si="11"/>
        <v>2200</v>
      </c>
      <c r="J37" s="3" t="s">
        <v>46</v>
      </c>
      <c r="K37" s="5">
        <v>2600</v>
      </c>
      <c r="L37" s="6">
        <v>1</v>
      </c>
      <c r="M37" s="5">
        <f t="shared" si="12"/>
        <v>2600</v>
      </c>
      <c r="N37" s="3" t="s">
        <v>84</v>
      </c>
      <c r="O37" s="5">
        <v>7500</v>
      </c>
      <c r="P37" s="6">
        <v>1</v>
      </c>
      <c r="Q37" s="5">
        <f>P37*O37</f>
        <v>7500</v>
      </c>
      <c r="R37" s="3" t="s">
        <v>84</v>
      </c>
      <c r="S37" s="5">
        <v>7500</v>
      </c>
      <c r="T37" s="6">
        <v>1</v>
      </c>
      <c r="U37" s="26">
        <f>T37*S37</f>
        <v>7500</v>
      </c>
    </row>
    <row r="38" spans="1:23" ht="56.25" customHeight="1" x14ac:dyDescent="0.2">
      <c r="A38" s="27" t="s">
        <v>47</v>
      </c>
      <c r="B38" s="19" t="s">
        <v>48</v>
      </c>
      <c r="C38" s="5">
        <v>3000</v>
      </c>
      <c r="D38" s="6">
        <v>1</v>
      </c>
      <c r="E38" s="5">
        <f t="shared" si="10"/>
        <v>3000</v>
      </c>
      <c r="F38" s="20" t="s">
        <v>48</v>
      </c>
      <c r="G38" s="5">
        <v>3000</v>
      </c>
      <c r="H38" s="6">
        <v>1</v>
      </c>
      <c r="I38" s="5">
        <f t="shared" si="11"/>
        <v>3000</v>
      </c>
      <c r="J38" s="20" t="s">
        <v>48</v>
      </c>
      <c r="K38" s="5">
        <v>3000</v>
      </c>
      <c r="L38" s="6">
        <v>1</v>
      </c>
      <c r="M38" s="5">
        <f t="shared" si="12"/>
        <v>3000</v>
      </c>
      <c r="N38" s="20" t="s">
        <v>105</v>
      </c>
      <c r="O38" s="5"/>
      <c r="P38" s="6"/>
      <c r="Q38" s="5"/>
      <c r="R38" s="4" t="s">
        <v>105</v>
      </c>
      <c r="S38" s="5"/>
      <c r="T38" s="6"/>
      <c r="U38" s="26"/>
    </row>
    <row r="39" spans="1:23" ht="25.5" x14ac:dyDescent="0.2">
      <c r="A39" s="32" t="s">
        <v>49</v>
      </c>
      <c r="B39" s="4" t="s">
        <v>105</v>
      </c>
      <c r="C39" s="5">
        <v>400</v>
      </c>
      <c r="D39" s="6">
        <v>1</v>
      </c>
      <c r="E39" s="5">
        <f t="shared" si="10"/>
        <v>400</v>
      </c>
      <c r="F39" s="4" t="s">
        <v>105</v>
      </c>
      <c r="G39" s="5">
        <v>400</v>
      </c>
      <c r="H39" s="6">
        <v>1</v>
      </c>
      <c r="I39" s="5">
        <f t="shared" si="11"/>
        <v>400</v>
      </c>
      <c r="J39" s="4" t="s">
        <v>105</v>
      </c>
      <c r="K39" s="5">
        <v>400</v>
      </c>
      <c r="L39" s="6">
        <v>1</v>
      </c>
      <c r="M39" s="5">
        <f t="shared" si="12"/>
        <v>400</v>
      </c>
      <c r="N39" s="4" t="s">
        <v>105</v>
      </c>
      <c r="O39" s="5">
        <v>400</v>
      </c>
      <c r="P39" s="6">
        <v>1</v>
      </c>
      <c r="Q39" s="5">
        <f t="shared" ref="Q39:Q45" si="13">P39*O39</f>
        <v>400</v>
      </c>
      <c r="R39" s="4" t="s">
        <v>105</v>
      </c>
      <c r="S39" s="5">
        <v>400</v>
      </c>
      <c r="T39" s="6">
        <v>1</v>
      </c>
      <c r="U39" s="26">
        <f t="shared" ref="U39:U45" si="14">T39*S39</f>
        <v>400</v>
      </c>
    </row>
    <row r="40" spans="1:23" ht="25.5" x14ac:dyDescent="0.2">
      <c r="A40" s="27" t="s">
        <v>50</v>
      </c>
      <c r="B40" s="4" t="s">
        <v>105</v>
      </c>
      <c r="C40" s="5">
        <v>200</v>
      </c>
      <c r="D40" s="6">
        <v>1</v>
      </c>
      <c r="E40" s="5">
        <f t="shared" si="10"/>
        <v>200</v>
      </c>
      <c r="F40" s="4" t="s">
        <v>105</v>
      </c>
      <c r="G40" s="5">
        <v>200</v>
      </c>
      <c r="H40" s="6">
        <v>1</v>
      </c>
      <c r="I40" s="5">
        <f t="shared" si="11"/>
        <v>200</v>
      </c>
      <c r="J40" s="4" t="s">
        <v>105</v>
      </c>
      <c r="K40" s="5">
        <v>200</v>
      </c>
      <c r="L40" s="6">
        <v>1</v>
      </c>
      <c r="M40" s="5">
        <f t="shared" si="12"/>
        <v>200</v>
      </c>
      <c r="N40" s="4" t="s">
        <v>105</v>
      </c>
      <c r="O40" s="5">
        <v>1000</v>
      </c>
      <c r="P40" s="6">
        <v>1</v>
      </c>
      <c r="Q40" s="5">
        <f t="shared" si="13"/>
        <v>1000</v>
      </c>
      <c r="R40" s="4" t="s">
        <v>105</v>
      </c>
      <c r="S40" s="5">
        <v>1000</v>
      </c>
      <c r="T40" s="6">
        <v>1</v>
      </c>
      <c r="U40" s="26">
        <f t="shared" si="14"/>
        <v>1000</v>
      </c>
    </row>
    <row r="41" spans="1:23" x14ac:dyDescent="0.2">
      <c r="A41" s="27" t="s">
        <v>51</v>
      </c>
      <c r="B41" s="4" t="s">
        <v>105</v>
      </c>
      <c r="C41" s="5">
        <v>200</v>
      </c>
      <c r="D41" s="6">
        <v>1</v>
      </c>
      <c r="E41" s="5">
        <f t="shared" si="10"/>
        <v>200</v>
      </c>
      <c r="F41" s="4" t="s">
        <v>105</v>
      </c>
      <c r="G41" s="5">
        <v>200</v>
      </c>
      <c r="H41" s="6">
        <v>1</v>
      </c>
      <c r="I41" s="5">
        <f t="shared" si="11"/>
        <v>200</v>
      </c>
      <c r="J41" s="4" t="s">
        <v>105</v>
      </c>
      <c r="K41" s="5">
        <v>200</v>
      </c>
      <c r="L41" s="6">
        <v>1</v>
      </c>
      <c r="M41" s="5">
        <f t="shared" si="12"/>
        <v>200</v>
      </c>
      <c r="N41" s="4" t="s">
        <v>88</v>
      </c>
      <c r="O41" s="5">
        <v>200</v>
      </c>
      <c r="P41" s="6">
        <v>4</v>
      </c>
      <c r="Q41" s="5">
        <f t="shared" si="13"/>
        <v>800</v>
      </c>
      <c r="R41" s="4" t="s">
        <v>89</v>
      </c>
      <c r="S41" s="5">
        <v>200</v>
      </c>
      <c r="T41" s="6">
        <v>6</v>
      </c>
      <c r="U41" s="26">
        <f t="shared" si="14"/>
        <v>1200</v>
      </c>
    </row>
    <row r="42" spans="1:23" x14ac:dyDescent="0.2">
      <c r="A42" s="27" t="s">
        <v>52</v>
      </c>
      <c r="B42" s="3" t="s">
        <v>105</v>
      </c>
      <c r="C42" s="5">
        <v>100</v>
      </c>
      <c r="D42" s="6">
        <v>1</v>
      </c>
      <c r="E42" s="5">
        <f t="shared" si="10"/>
        <v>100</v>
      </c>
      <c r="F42" s="3" t="s">
        <v>105</v>
      </c>
      <c r="G42" s="5">
        <v>100</v>
      </c>
      <c r="H42" s="6">
        <v>1</v>
      </c>
      <c r="I42" s="5">
        <f t="shared" si="11"/>
        <v>100</v>
      </c>
      <c r="J42" s="3" t="s">
        <v>105</v>
      </c>
      <c r="K42" s="5">
        <v>100</v>
      </c>
      <c r="L42" s="6">
        <v>1</v>
      </c>
      <c r="M42" s="5">
        <f t="shared" si="12"/>
        <v>100</v>
      </c>
      <c r="N42" s="3" t="s">
        <v>86</v>
      </c>
      <c r="O42" s="5">
        <v>100</v>
      </c>
      <c r="P42" s="6">
        <v>2</v>
      </c>
      <c r="Q42" s="5">
        <f t="shared" si="13"/>
        <v>200</v>
      </c>
      <c r="R42" s="3" t="s">
        <v>87</v>
      </c>
      <c r="S42" s="5">
        <v>100</v>
      </c>
      <c r="T42" s="6">
        <v>3</v>
      </c>
      <c r="U42" s="26">
        <f t="shared" si="14"/>
        <v>300</v>
      </c>
    </row>
    <row r="43" spans="1:23" x14ac:dyDescent="0.2">
      <c r="A43" s="27" t="s">
        <v>53</v>
      </c>
      <c r="B43" s="4" t="s">
        <v>105</v>
      </c>
      <c r="C43" s="5">
        <v>1000</v>
      </c>
      <c r="D43" s="6">
        <v>1</v>
      </c>
      <c r="E43" s="5">
        <f t="shared" si="10"/>
        <v>1000</v>
      </c>
      <c r="F43" s="4" t="s">
        <v>105</v>
      </c>
      <c r="G43" s="5">
        <v>1000</v>
      </c>
      <c r="H43" s="6">
        <v>1</v>
      </c>
      <c r="I43" s="5">
        <f t="shared" si="11"/>
        <v>1000</v>
      </c>
      <c r="J43" s="4" t="s">
        <v>105</v>
      </c>
      <c r="K43" s="5">
        <v>1000</v>
      </c>
      <c r="L43" s="6">
        <v>1</v>
      </c>
      <c r="M43" s="5">
        <f t="shared" si="12"/>
        <v>1000</v>
      </c>
      <c r="N43" s="4" t="s">
        <v>105</v>
      </c>
      <c r="O43" s="5">
        <v>5000</v>
      </c>
      <c r="P43" s="6">
        <v>1</v>
      </c>
      <c r="Q43" s="5">
        <f t="shared" si="13"/>
        <v>5000</v>
      </c>
      <c r="R43" s="4" t="s">
        <v>105</v>
      </c>
      <c r="S43" s="5">
        <v>7500</v>
      </c>
      <c r="T43" s="6">
        <v>1</v>
      </c>
      <c r="U43" s="26">
        <f t="shared" si="14"/>
        <v>7500</v>
      </c>
    </row>
    <row r="44" spans="1:23" ht="25.5" x14ac:dyDescent="0.2">
      <c r="A44" s="27" t="s">
        <v>66</v>
      </c>
      <c r="B44" s="4" t="s">
        <v>105</v>
      </c>
      <c r="C44" s="5"/>
      <c r="D44" s="6"/>
      <c r="E44" s="5"/>
      <c r="F44" s="4" t="s">
        <v>105</v>
      </c>
      <c r="G44" s="5"/>
      <c r="H44" s="6"/>
      <c r="I44" s="5"/>
      <c r="J44" s="4" t="s">
        <v>105</v>
      </c>
      <c r="K44" s="5"/>
      <c r="L44" s="6"/>
      <c r="M44" s="5"/>
      <c r="N44" s="4" t="s">
        <v>105</v>
      </c>
      <c r="O44" s="5">
        <v>3000</v>
      </c>
      <c r="P44" s="6">
        <v>1</v>
      </c>
      <c r="Q44" s="5">
        <f t="shared" si="13"/>
        <v>3000</v>
      </c>
      <c r="R44" s="4" t="s">
        <v>105</v>
      </c>
      <c r="S44" s="5">
        <v>3000</v>
      </c>
      <c r="T44" s="6">
        <v>1</v>
      </c>
      <c r="U44" s="26">
        <f t="shared" si="14"/>
        <v>3000</v>
      </c>
    </row>
    <row r="45" spans="1:23" ht="25.5" x14ac:dyDescent="0.2">
      <c r="A45" s="27" t="s">
        <v>81</v>
      </c>
      <c r="B45" s="4" t="s">
        <v>105</v>
      </c>
      <c r="C45" s="5"/>
      <c r="D45" s="6"/>
      <c r="E45" s="5"/>
      <c r="F45" s="4" t="s">
        <v>105</v>
      </c>
      <c r="G45" s="5"/>
      <c r="H45" s="6"/>
      <c r="I45" s="5"/>
      <c r="J45" s="4" t="s">
        <v>105</v>
      </c>
      <c r="K45" s="5"/>
      <c r="L45" s="6"/>
      <c r="M45" s="5"/>
      <c r="N45" s="4" t="s">
        <v>82</v>
      </c>
      <c r="O45" s="5">
        <v>1000</v>
      </c>
      <c r="P45" s="6">
        <v>1</v>
      </c>
      <c r="Q45" s="5">
        <f t="shared" si="13"/>
        <v>1000</v>
      </c>
      <c r="R45" s="4" t="s">
        <v>82</v>
      </c>
      <c r="S45" s="5">
        <v>1000</v>
      </c>
      <c r="T45" s="6">
        <v>1</v>
      </c>
      <c r="U45" s="26">
        <f t="shared" si="14"/>
        <v>1000</v>
      </c>
    </row>
    <row r="46" spans="1:23" x14ac:dyDescent="0.2">
      <c r="A46" s="35" t="s">
        <v>54</v>
      </c>
      <c r="B46" s="16"/>
      <c r="C46" s="17">
        <f>SUM(C34:C43)</f>
        <v>9700</v>
      </c>
      <c r="D46" s="18"/>
      <c r="E46" s="17">
        <f>SUM(E34:E43)</f>
        <v>9700</v>
      </c>
      <c r="F46" s="16"/>
      <c r="G46" s="17">
        <f>SUM(G34:G43)</f>
        <v>9700</v>
      </c>
      <c r="H46" s="18"/>
      <c r="I46" s="17">
        <f>SUM(I34:I43)</f>
        <v>9700</v>
      </c>
      <c r="J46" s="16"/>
      <c r="K46" s="17">
        <f>SUM(K34:K43)</f>
        <v>10100</v>
      </c>
      <c r="L46" s="18"/>
      <c r="M46" s="17">
        <f>SUM(M34:M43)</f>
        <v>10100</v>
      </c>
      <c r="N46" s="16"/>
      <c r="O46" s="17">
        <f>SUM(O34:O45)</f>
        <v>29400</v>
      </c>
      <c r="P46" s="18"/>
      <c r="Q46" s="17">
        <f>SUM(Q34:Q45)</f>
        <v>30100</v>
      </c>
      <c r="R46" s="16"/>
      <c r="S46" s="17">
        <f>SUM(S34:S45)</f>
        <v>31900</v>
      </c>
      <c r="T46" s="18"/>
      <c r="U46" s="43">
        <f>SUM(U34:U45)</f>
        <v>33100</v>
      </c>
    </row>
    <row r="47" spans="1:23" x14ac:dyDescent="0.2">
      <c r="A47" s="27" t="s">
        <v>67</v>
      </c>
      <c r="B47" s="4" t="s">
        <v>105</v>
      </c>
      <c r="C47" s="5"/>
      <c r="D47" s="6"/>
      <c r="E47" s="5"/>
      <c r="F47" s="4" t="s">
        <v>105</v>
      </c>
      <c r="G47" s="5"/>
      <c r="H47" s="6"/>
      <c r="I47" s="5"/>
      <c r="J47" s="4" t="s">
        <v>105</v>
      </c>
      <c r="K47" s="5"/>
      <c r="L47" s="6"/>
      <c r="M47" s="5"/>
      <c r="N47" s="4" t="s">
        <v>105</v>
      </c>
      <c r="O47" s="5">
        <v>5000</v>
      </c>
      <c r="P47" s="6">
        <v>1</v>
      </c>
      <c r="Q47" s="5">
        <f>P47*O47</f>
        <v>5000</v>
      </c>
      <c r="R47" s="4" t="s">
        <v>105</v>
      </c>
      <c r="S47" s="5">
        <v>5000</v>
      </c>
      <c r="T47" s="6">
        <v>1</v>
      </c>
      <c r="U47" s="26">
        <f>T47*S47</f>
        <v>5000</v>
      </c>
    </row>
    <row r="48" spans="1:23" ht="15" customHeight="1" x14ac:dyDescent="0.2">
      <c r="A48" s="27" t="s">
        <v>26</v>
      </c>
      <c r="B48" s="4" t="s">
        <v>105</v>
      </c>
      <c r="C48" s="5"/>
      <c r="D48" s="6"/>
      <c r="E48" s="5"/>
      <c r="F48" s="4" t="s">
        <v>105</v>
      </c>
      <c r="G48" s="5"/>
      <c r="H48" s="6"/>
      <c r="I48" s="5"/>
      <c r="J48" s="4" t="s">
        <v>105</v>
      </c>
      <c r="K48" s="5"/>
      <c r="L48" s="6"/>
      <c r="M48" s="5"/>
      <c r="N48" s="4" t="s">
        <v>90</v>
      </c>
      <c r="O48" s="5">
        <v>2000</v>
      </c>
      <c r="P48" s="6">
        <v>1</v>
      </c>
      <c r="Q48" s="5">
        <f>P48*O48</f>
        <v>2000</v>
      </c>
      <c r="R48" s="4" t="s">
        <v>100</v>
      </c>
      <c r="S48" s="5">
        <v>2000</v>
      </c>
      <c r="T48" s="6">
        <v>2</v>
      </c>
      <c r="U48" s="26">
        <f>T48*S48</f>
        <v>4000</v>
      </c>
    </row>
    <row r="49" spans="1:21" x14ac:dyDescent="0.2">
      <c r="A49" s="35" t="s">
        <v>68</v>
      </c>
      <c r="B49" s="16"/>
      <c r="C49" s="17">
        <f>SUM(C47:C48)</f>
        <v>0</v>
      </c>
      <c r="D49" s="18"/>
      <c r="E49" s="17">
        <f>SUM(E47:E48)</f>
        <v>0</v>
      </c>
      <c r="F49" s="16"/>
      <c r="G49" s="17">
        <f>SUM(G47:G48)</f>
        <v>0</v>
      </c>
      <c r="H49" s="18"/>
      <c r="I49" s="17">
        <f>SUM(I47:I48)</f>
        <v>0</v>
      </c>
      <c r="J49" s="16"/>
      <c r="K49" s="17">
        <f>SUM(K47:K48)</f>
        <v>0</v>
      </c>
      <c r="L49" s="18"/>
      <c r="M49" s="17">
        <f>SUM(M47:M48)</f>
        <v>0</v>
      </c>
      <c r="N49" s="16"/>
      <c r="O49" s="17">
        <f>SUM(O47:O48)</f>
        <v>7000</v>
      </c>
      <c r="P49" s="18"/>
      <c r="Q49" s="17">
        <f>SUM(Q47:Q48)</f>
        <v>7000</v>
      </c>
      <c r="R49" s="16"/>
      <c r="S49" s="17">
        <f>SUM(S47:S48)</f>
        <v>7000</v>
      </c>
      <c r="T49" s="18"/>
      <c r="U49" s="43">
        <f>SUM(U47:U48)</f>
        <v>9000</v>
      </c>
    </row>
    <row r="50" spans="1:21" ht="22.5" customHeight="1" thickBot="1" x14ac:dyDescent="0.25">
      <c r="A50" s="36" t="s">
        <v>55</v>
      </c>
      <c r="B50" s="37"/>
      <c r="C50" s="38">
        <f>C49+C46+C32+C16</f>
        <v>52800</v>
      </c>
      <c r="D50" s="39"/>
      <c r="E50" s="38">
        <f>E49+E46+E32+E16</f>
        <v>52800</v>
      </c>
      <c r="F50" s="40"/>
      <c r="G50" s="38">
        <f>G49+G46+G32+G16</f>
        <v>56400</v>
      </c>
      <c r="H50" s="38"/>
      <c r="I50" s="38">
        <f>I49+I46+I32+I16</f>
        <v>56400</v>
      </c>
      <c r="J50" s="40"/>
      <c r="K50" s="38">
        <f>K49+K46+K32+K16</f>
        <v>59700</v>
      </c>
      <c r="L50" s="39"/>
      <c r="M50" s="38">
        <f>M49+M46+M32+M16</f>
        <v>59700</v>
      </c>
      <c r="N50" s="40"/>
      <c r="O50" s="38">
        <f>O49+O46+O32+O16</f>
        <v>120450</v>
      </c>
      <c r="P50" s="38"/>
      <c r="Q50" s="38">
        <f>Q49+Q46+Q32+Q16</f>
        <v>145050</v>
      </c>
      <c r="R50" s="40"/>
      <c r="S50" s="38">
        <f>S49+S46+S32+S16</f>
        <v>125950</v>
      </c>
      <c r="T50" s="39"/>
      <c r="U50" s="44">
        <f>U49+U46+U32+U16</f>
        <v>175750</v>
      </c>
    </row>
  </sheetData>
  <mergeCells count="5">
    <mergeCell ref="N2:Q2"/>
    <mergeCell ref="R2:U2"/>
    <mergeCell ref="B2:E2"/>
    <mergeCell ref="F2:I2"/>
    <mergeCell ref="J2:M2"/>
  </mergeCells>
  <pageMargins left="0.7" right="0.7" top="0.75" bottom="0.75" header="0.3" footer="0.3"/>
  <pageSetup orientation="portrait" r:id="rId1"/>
  <ignoredErrors>
    <ignoredError sqref="U4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rightToLeft="1" zoomScaleNormal="100" workbookViewId="0">
      <selection activeCell="F3" sqref="F3"/>
    </sheetView>
  </sheetViews>
  <sheetFormatPr defaultRowHeight="15" x14ac:dyDescent="0.2"/>
  <cols>
    <col min="1" max="1" width="9" style="276"/>
    <col min="2" max="2" width="28.875" style="276" customWidth="1"/>
    <col min="3" max="3" width="15.25" style="276" customWidth="1"/>
    <col min="4" max="4" width="14.375" style="276" customWidth="1"/>
    <col min="5" max="16384" width="9" style="276"/>
  </cols>
  <sheetData>
    <row r="1" spans="1:7" x14ac:dyDescent="0.2">
      <c r="A1" s="273"/>
      <c r="B1" s="274"/>
      <c r="C1" s="274"/>
      <c r="D1" s="274"/>
      <c r="E1" s="274"/>
      <c r="F1" s="274"/>
      <c r="G1" s="275"/>
    </row>
    <row r="2" spans="1:7" ht="15.75" x14ac:dyDescent="0.25">
      <c r="A2" s="277"/>
      <c r="B2" s="45" t="s">
        <v>325</v>
      </c>
      <c r="G2" s="278"/>
    </row>
    <row r="3" spans="1:7" ht="15.75" x14ac:dyDescent="0.25">
      <c r="A3" s="277"/>
      <c r="B3" s="45"/>
      <c r="E3" s="279" t="s">
        <v>120</v>
      </c>
      <c r="F3" s="313"/>
      <c r="G3" s="278"/>
    </row>
    <row r="4" spans="1:7" x14ac:dyDescent="0.2">
      <c r="A4" s="277"/>
      <c r="G4" s="278"/>
    </row>
    <row r="5" spans="1:7" x14ac:dyDescent="0.2">
      <c r="A5" s="277"/>
      <c r="B5" s="276" t="s">
        <v>115</v>
      </c>
      <c r="C5" s="395">
        <f>IFERROR('שאלון למילוי הגוף-חובה'!E3, "")</f>
        <v>0</v>
      </c>
      <c r="D5" s="395"/>
      <c r="E5" s="280"/>
      <c r="G5" s="278"/>
    </row>
    <row r="6" spans="1:7" x14ac:dyDescent="0.2">
      <c r="A6" s="277"/>
      <c r="B6" s="281" t="s">
        <v>116</v>
      </c>
      <c r="C6" s="394">
        <f>IFERROR('שאלון למילוי הגוף-חובה'!E4, "")</f>
        <v>0</v>
      </c>
      <c r="D6" s="394"/>
      <c r="G6" s="278"/>
    </row>
    <row r="7" spans="1:7" x14ac:dyDescent="0.2">
      <c r="A7" s="277"/>
      <c r="B7" s="281" t="s">
        <v>119</v>
      </c>
      <c r="C7" s="393">
        <f>IFERROR('שאלון למילוי הגוף-חובה'!E5, "")</f>
        <v>0</v>
      </c>
      <c r="D7" s="393"/>
      <c r="G7" s="278"/>
    </row>
    <row r="8" spans="1:7" x14ac:dyDescent="0.2">
      <c r="A8" s="277"/>
      <c r="B8" s="281" t="s">
        <v>123</v>
      </c>
      <c r="C8" s="396">
        <f>IFERROR('שאלון למילוי הגוף-חובה'!E6, "")</f>
        <v>0</v>
      </c>
      <c r="D8" s="396"/>
      <c r="G8" s="278"/>
    </row>
    <row r="9" spans="1:7" x14ac:dyDescent="0.2">
      <c r="A9" s="277"/>
      <c r="B9" s="281" t="s">
        <v>276</v>
      </c>
      <c r="C9" s="396">
        <f>IFERROR('שאלון למילוי הגוף-חובה'!E7, "")</f>
        <v>0</v>
      </c>
      <c r="D9" s="396"/>
      <c r="G9" s="278"/>
    </row>
    <row r="10" spans="1:7" x14ac:dyDescent="0.2">
      <c r="A10" s="277"/>
      <c r="B10" s="276" t="s">
        <v>277</v>
      </c>
      <c r="C10" s="396">
        <f>IFERROR('שאלון למילוי הגוף-חובה'!E8, "")</f>
        <v>0</v>
      </c>
      <c r="D10" s="396"/>
      <c r="G10" s="278"/>
    </row>
    <row r="11" spans="1:7" x14ac:dyDescent="0.2">
      <c r="A11" s="277"/>
      <c r="B11" s="276" t="s">
        <v>308</v>
      </c>
      <c r="C11" s="396">
        <f>IFERROR('שאלון למילוי הגוף-חובה'!E9, "")</f>
        <v>0</v>
      </c>
      <c r="D11" s="396"/>
      <c r="G11" s="278"/>
    </row>
    <row r="12" spans="1:7" x14ac:dyDescent="0.2">
      <c r="A12" s="277"/>
      <c r="B12" s="276" t="s">
        <v>232</v>
      </c>
      <c r="C12" s="393">
        <f>IFERROR('שאלון למילוי הגוף-חובה'!E11, "")</f>
        <v>0</v>
      </c>
      <c r="D12" s="393"/>
      <c r="G12" s="278"/>
    </row>
    <row r="13" spans="1:7" x14ac:dyDescent="0.2">
      <c r="A13" s="277"/>
      <c r="B13" s="276" t="s">
        <v>233</v>
      </c>
      <c r="C13" s="393">
        <f>IFERROR('שאלון למילוי הגוף-חובה'!E12, "")</f>
        <v>0</v>
      </c>
      <c r="D13" s="393"/>
      <c r="G13" s="278"/>
    </row>
    <row r="14" spans="1:7" x14ac:dyDescent="0.2">
      <c r="A14" s="277"/>
      <c r="B14" s="279" t="s">
        <v>283</v>
      </c>
      <c r="C14" s="393">
        <f>IFERROR('שאלון למילוי הגוף-חובה'!E13, "")</f>
        <v>0</v>
      </c>
      <c r="D14" s="393"/>
      <c r="G14" s="278"/>
    </row>
    <row r="15" spans="1:7" x14ac:dyDescent="0.2">
      <c r="A15" s="277"/>
      <c r="B15" s="281" t="s">
        <v>117</v>
      </c>
      <c r="C15" s="396">
        <f>IFERROR('שאלון למילוי הגוף-חובה'!E15, "")</f>
        <v>0</v>
      </c>
      <c r="D15" s="396"/>
      <c r="G15" s="278"/>
    </row>
    <row r="16" spans="1:7" x14ac:dyDescent="0.2">
      <c r="A16" s="277"/>
      <c r="B16" s="281" t="s">
        <v>118</v>
      </c>
      <c r="C16" s="396">
        <f>IFERROR('שאלון למילוי הגוף-חובה'!E16, "")</f>
        <v>0</v>
      </c>
      <c r="D16" s="396"/>
      <c r="G16" s="278"/>
    </row>
    <row r="17" spans="1:7" x14ac:dyDescent="0.2">
      <c r="A17" s="277"/>
      <c r="G17" s="278"/>
    </row>
    <row r="18" spans="1:7" x14ac:dyDescent="0.2">
      <c r="A18" s="277"/>
      <c r="G18" s="278"/>
    </row>
    <row r="19" spans="1:7" ht="16.5" thickBot="1" x14ac:dyDescent="0.3">
      <c r="A19" s="277"/>
      <c r="B19" s="45" t="s">
        <v>412</v>
      </c>
      <c r="G19" s="278"/>
    </row>
    <row r="20" spans="1:7" ht="47.25" x14ac:dyDescent="0.25">
      <c r="A20" s="277"/>
      <c r="B20" s="302" t="s">
        <v>107</v>
      </c>
      <c r="C20" s="303" t="s">
        <v>416</v>
      </c>
      <c r="D20" s="310" t="s">
        <v>417</v>
      </c>
      <c r="G20" s="278"/>
    </row>
    <row r="21" spans="1:7" x14ac:dyDescent="0.2">
      <c r="A21" s="277"/>
      <c r="B21" s="304" t="s">
        <v>306</v>
      </c>
      <c r="C21" s="305">
        <f>'ריהוט, אחסנה, חצר והצללה'!V16</f>
        <v>0</v>
      </c>
      <c r="D21" s="311">
        <f>'ריהוט, אחסנה, חצר והצללה'!P16</f>
        <v>0</v>
      </c>
      <c r="G21" s="278"/>
    </row>
    <row r="22" spans="1:7" ht="14.25" customHeight="1" x14ac:dyDescent="0.2">
      <c r="A22" s="277"/>
      <c r="B22" s="306" t="s">
        <v>168</v>
      </c>
      <c r="C22" s="305">
        <f>'ריהוט, אחסנה, חצר והצללה'!V23</f>
        <v>0</v>
      </c>
      <c r="D22" s="311">
        <f>'ריהוט, אחסנה, חצר והצללה'!P23</f>
        <v>0</v>
      </c>
      <c r="G22" s="278"/>
    </row>
    <row r="23" spans="1:7" x14ac:dyDescent="0.2">
      <c r="A23" s="277"/>
      <c r="B23" s="306" t="s">
        <v>198</v>
      </c>
      <c r="C23" s="305">
        <f>'ריהוט, אחסנה, חצר והצללה'!V33</f>
        <v>0</v>
      </c>
      <c r="D23" s="311">
        <f>'ריהוט, אחסנה, חצר והצללה'!P33</f>
        <v>0</v>
      </c>
      <c r="G23" s="278"/>
    </row>
    <row r="24" spans="1:7" x14ac:dyDescent="0.2">
      <c r="A24" s="277"/>
      <c r="B24" s="306" t="s">
        <v>204</v>
      </c>
      <c r="C24" s="305">
        <f>'ריהוט, אחסנה, חצר והצללה'!V40+'ריהוט, אחסנה, חצר והצללה'!V45</f>
        <v>0</v>
      </c>
      <c r="D24" s="311">
        <f>'ריהוט, אחסנה, חצר והצללה'!P40+'ריהוט, אחסנה, חצר והצללה'!P45</f>
        <v>0</v>
      </c>
      <c r="G24" s="278"/>
    </row>
    <row r="25" spans="1:7" ht="14.25" customHeight="1" x14ac:dyDescent="0.2">
      <c r="A25" s="277"/>
      <c r="B25" s="306" t="s">
        <v>165</v>
      </c>
      <c r="C25" s="305">
        <f>'שינוע, מכונות מטבח ושונות'!U13</f>
        <v>0</v>
      </c>
      <c r="D25" s="311">
        <f>'שינוע, מכונות מטבח ושונות'!O13</f>
        <v>0</v>
      </c>
      <c r="G25" s="278"/>
    </row>
    <row r="26" spans="1:7" x14ac:dyDescent="0.2">
      <c r="A26" s="277"/>
      <c r="B26" s="306" t="s">
        <v>172</v>
      </c>
      <c r="C26" s="305">
        <f>'שינוע, מכונות מטבח ושונות'!U24</f>
        <v>0</v>
      </c>
      <c r="D26" s="311">
        <f>'שינוע, מכונות מטבח ושונות'!O24</f>
        <v>0</v>
      </c>
      <c r="G26" s="278"/>
    </row>
    <row r="27" spans="1:7" x14ac:dyDescent="0.2">
      <c r="A27" s="277"/>
      <c r="B27" s="306" t="s">
        <v>189</v>
      </c>
      <c r="C27" s="305">
        <f>'שינוע, מכונות מטבח ושונות'!U38</f>
        <v>0</v>
      </c>
      <c r="D27" s="311">
        <f>'שינוע, מכונות מטבח ושונות'!O38</f>
        <v>0</v>
      </c>
      <c r="G27" s="278"/>
    </row>
    <row r="28" spans="1:7" x14ac:dyDescent="0.2">
      <c r="A28" s="277"/>
      <c r="B28" s="306" t="s">
        <v>208</v>
      </c>
      <c r="C28" s="305">
        <f>'שינוע, מכונות מטבח ושונות'!U73</f>
        <v>0</v>
      </c>
      <c r="D28" s="311">
        <f>'שינוע, מכונות מטבח ושונות'!O73</f>
        <v>0</v>
      </c>
      <c r="G28" s="278"/>
    </row>
    <row r="29" spans="1:7" x14ac:dyDescent="0.2">
      <c r="A29" s="277"/>
      <c r="B29" s="306" t="s">
        <v>309</v>
      </c>
      <c r="C29" s="305">
        <f>'כלי עבודה+ סיכום תקן'!S15</f>
        <v>0</v>
      </c>
      <c r="D29" s="311">
        <f>'כלי עבודה+ סיכום תקן'!M15</f>
        <v>0</v>
      </c>
      <c r="G29" s="278"/>
    </row>
    <row r="30" spans="1:7" x14ac:dyDescent="0.2">
      <c r="A30" s="277"/>
      <c r="B30" s="307" t="s">
        <v>352</v>
      </c>
      <c r="C30" s="305">
        <f>'טבלת ציוד יעודי'!G44</f>
        <v>0</v>
      </c>
      <c r="D30" s="311">
        <f>'טבלת ציוד יעודי'!G44</f>
        <v>0</v>
      </c>
      <c r="G30" s="278"/>
    </row>
    <row r="31" spans="1:7" ht="16.5" thickBot="1" x14ac:dyDescent="0.3">
      <c r="A31" s="277"/>
      <c r="B31" s="308" t="s">
        <v>114</v>
      </c>
      <c r="C31" s="309">
        <f>SUM(C21:C30)</f>
        <v>0</v>
      </c>
      <c r="D31" s="312">
        <f>SUM(D21:D30)</f>
        <v>0</v>
      </c>
      <c r="G31" s="278"/>
    </row>
    <row r="32" spans="1:7" x14ac:dyDescent="0.2">
      <c r="A32" s="277"/>
      <c r="G32" s="278"/>
    </row>
    <row r="33" spans="1:7" ht="15.75" x14ac:dyDescent="0.25">
      <c r="A33" s="277"/>
      <c r="B33" s="45" t="s">
        <v>121</v>
      </c>
      <c r="G33" s="278"/>
    </row>
    <row r="34" spans="1:7" x14ac:dyDescent="0.2">
      <c r="A34" s="277"/>
      <c r="B34" s="282" t="s">
        <v>111</v>
      </c>
      <c r="C34" s="282" t="s">
        <v>110</v>
      </c>
      <c r="D34" s="282" t="s">
        <v>109</v>
      </c>
      <c r="G34" s="278"/>
    </row>
    <row r="35" spans="1:7" ht="14.25" customHeight="1" x14ac:dyDescent="0.2">
      <c r="A35" s="277"/>
      <c r="B35" s="283" t="s">
        <v>125</v>
      </c>
      <c r="C35" s="284">
        <f>IF(F3&lt;=4,90%,IF(F3&lt;8,80%,70%))</f>
        <v>0.9</v>
      </c>
      <c r="D35" s="285">
        <f>C31*C35</f>
        <v>0</v>
      </c>
      <c r="G35" s="278"/>
    </row>
    <row r="36" spans="1:7" x14ac:dyDescent="0.2">
      <c r="A36" s="277"/>
      <c r="B36" s="283" t="s">
        <v>108</v>
      </c>
      <c r="C36" s="286">
        <f>100%-C35</f>
        <v>9.9999999999999978E-2</v>
      </c>
      <c r="D36" s="285">
        <f>C31*C36</f>
        <v>0</v>
      </c>
      <c r="G36" s="278"/>
    </row>
    <row r="37" spans="1:7" x14ac:dyDescent="0.2">
      <c r="A37" s="277"/>
      <c r="B37" s="283" t="s">
        <v>106</v>
      </c>
      <c r="C37" s="287">
        <f>SUM(C35:C36)</f>
        <v>1</v>
      </c>
      <c r="D37" s="285">
        <f>SUM(D35:D36)</f>
        <v>0</v>
      </c>
      <c r="G37" s="278"/>
    </row>
    <row r="38" spans="1:7" x14ac:dyDescent="0.2">
      <c r="A38" s="277"/>
      <c r="B38" s="288"/>
      <c r="G38" s="278"/>
    </row>
    <row r="39" spans="1:7" x14ac:dyDescent="0.2">
      <c r="A39" s="277"/>
      <c r="G39" s="278"/>
    </row>
    <row r="40" spans="1:7" x14ac:dyDescent="0.2">
      <c r="A40" s="277"/>
      <c r="G40" s="278"/>
    </row>
    <row r="41" spans="1:7" x14ac:dyDescent="0.2">
      <c r="A41" s="277"/>
      <c r="G41" s="278"/>
    </row>
    <row r="42" spans="1:7" x14ac:dyDescent="0.2">
      <c r="A42" s="277"/>
      <c r="G42" s="278"/>
    </row>
    <row r="43" spans="1:7" ht="15.75" thickBot="1" x14ac:dyDescent="0.25">
      <c r="A43" s="289"/>
      <c r="B43" s="290"/>
      <c r="C43" s="290"/>
      <c r="D43" s="290"/>
      <c r="E43" s="290"/>
      <c r="F43" s="290"/>
      <c r="G43" s="291"/>
    </row>
  </sheetData>
  <sheetProtection algorithmName="SHA-512" hashValue="peCwxsanDpAf2sj9lW3nCewsmJi6pK/p78k1FrCwRH7gea5IapBeaPCQpOaL/xdAojyAd8FEC8Z5rJ3JgMw1aA==" saltValue="2sWIp/Ngv0SY9jjBFc6ryQ==" spinCount="100000" sheet="1" formatCells="0" formatColumns="0" formatRows="0"/>
  <mergeCells count="12">
    <mergeCell ref="C15:D15"/>
    <mergeCell ref="C16:D16"/>
    <mergeCell ref="C10:D10"/>
    <mergeCell ref="C11:D11"/>
    <mergeCell ref="C12:D12"/>
    <mergeCell ref="C13:D13"/>
    <mergeCell ref="C14:D14"/>
    <mergeCell ref="C7:D7"/>
    <mergeCell ref="C6:D6"/>
    <mergeCell ref="C5:D5"/>
    <mergeCell ref="C8:D8"/>
    <mergeCell ref="C9:D9"/>
  </mergeCell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rightToLeft="1" tabSelected="1" topLeftCell="A39" zoomScale="140" zoomScaleNormal="140" workbookViewId="0">
      <selection activeCell="B52" sqref="B52"/>
    </sheetView>
  </sheetViews>
  <sheetFormatPr defaultRowHeight="15.75" x14ac:dyDescent="0.25"/>
  <cols>
    <col min="1" max="1" width="1.75" style="91" customWidth="1"/>
    <col min="2" max="2" width="7.5" style="91" customWidth="1"/>
    <col min="3" max="3" width="9" style="91" customWidth="1"/>
    <col min="4" max="4" width="4.875" style="91" customWidth="1"/>
    <col min="5" max="8" width="9" style="91"/>
    <col min="9" max="9" width="13.375" style="91" customWidth="1"/>
    <col min="10" max="10" width="9" style="91" customWidth="1"/>
    <col min="11" max="12" width="9" style="91"/>
    <col min="13" max="13" width="29.25" style="91" customWidth="1"/>
    <col min="14" max="16384" width="9" style="91"/>
  </cols>
  <sheetData>
    <row r="1" spans="1:13" ht="16.5" thickBot="1" x14ac:dyDescent="0.3">
      <c r="B1" s="90"/>
    </row>
    <row r="2" spans="1:13" x14ac:dyDescent="0.25"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x14ac:dyDescent="0.25">
      <c r="B3" s="95"/>
      <c r="D3" s="96"/>
      <c r="E3" s="96"/>
      <c r="G3" s="61"/>
      <c r="H3" s="61"/>
      <c r="I3" s="61"/>
      <c r="M3" s="97"/>
    </row>
    <row r="4" spans="1:13" x14ac:dyDescent="0.25">
      <c r="B4" s="95"/>
      <c r="D4" s="98"/>
      <c r="E4" s="98"/>
      <c r="F4" s="91" t="s">
        <v>334</v>
      </c>
      <c r="G4" s="99"/>
      <c r="H4" s="99"/>
      <c r="I4" s="99"/>
      <c r="M4" s="97"/>
    </row>
    <row r="5" spans="1:13" x14ac:dyDescent="0.25">
      <c r="B5" s="95"/>
      <c r="D5" s="96"/>
      <c r="E5" s="96"/>
      <c r="G5" s="61"/>
      <c r="H5" s="61"/>
      <c r="I5" s="61"/>
      <c r="M5" s="97"/>
    </row>
    <row r="6" spans="1:13" x14ac:dyDescent="0.25">
      <c r="B6" s="95"/>
      <c r="C6" s="61"/>
      <c r="M6" s="97"/>
    </row>
    <row r="7" spans="1:13" ht="18.75" x14ac:dyDescent="0.3">
      <c r="A7" s="119"/>
      <c r="B7" s="120"/>
      <c r="C7" s="121"/>
      <c r="D7" s="121" t="s">
        <v>374</v>
      </c>
      <c r="E7" s="121"/>
      <c r="F7" s="121"/>
      <c r="G7" s="121"/>
      <c r="H7" s="121"/>
      <c r="I7" s="121"/>
      <c r="M7" s="97"/>
    </row>
    <row r="8" spans="1:13" ht="31.5" customHeight="1" x14ac:dyDescent="0.25">
      <c r="B8" s="335" t="s">
        <v>127</v>
      </c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7"/>
    </row>
    <row r="9" spans="1:13" x14ac:dyDescent="0.25">
      <c r="B9" s="100" t="s">
        <v>253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8"/>
    </row>
    <row r="10" spans="1:13" x14ac:dyDescent="0.25">
      <c r="B10" s="100" t="s">
        <v>148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8"/>
    </row>
    <row r="11" spans="1:13" x14ac:dyDescent="0.25">
      <c r="B11" s="100" t="s">
        <v>149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8"/>
    </row>
    <row r="12" spans="1:13" x14ac:dyDescent="0.25">
      <c r="B12" s="100" t="s">
        <v>254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8"/>
    </row>
    <row r="13" spans="1:13" x14ac:dyDescent="0.25">
      <c r="B13" s="100" t="s">
        <v>255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8"/>
    </row>
    <row r="14" spans="1:13" x14ac:dyDescent="0.25">
      <c r="B14" s="100" t="s">
        <v>256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8"/>
    </row>
    <row r="15" spans="1:13" x14ac:dyDescent="0.25">
      <c r="B15" s="100" t="s">
        <v>353</v>
      </c>
      <c r="C15" s="101"/>
      <c r="D15" s="102"/>
      <c r="E15" s="102"/>
      <c r="F15" s="102"/>
      <c r="G15" s="102"/>
      <c r="H15" s="102"/>
      <c r="I15" s="102"/>
      <c r="J15" s="102"/>
      <c r="K15" s="103"/>
      <c r="L15" s="103"/>
      <c r="M15" s="104"/>
    </row>
    <row r="16" spans="1:13" x14ac:dyDescent="0.25">
      <c r="B16" s="100" t="s">
        <v>257</v>
      </c>
      <c r="C16" s="100"/>
      <c r="D16" s="102"/>
      <c r="E16" s="102"/>
      <c r="F16" s="102"/>
      <c r="G16" s="102"/>
      <c r="H16" s="102"/>
      <c r="I16" s="102"/>
      <c r="J16" s="102"/>
      <c r="K16" s="103"/>
      <c r="L16" s="103"/>
      <c r="M16" s="104"/>
    </row>
    <row r="17" spans="2:13" ht="15" customHeight="1" x14ac:dyDescent="0.25">
      <c r="B17" s="105" t="s">
        <v>128</v>
      </c>
      <c r="C17" s="100"/>
      <c r="D17" s="57"/>
      <c r="E17" s="57"/>
      <c r="F17" s="57"/>
      <c r="G17" s="57"/>
      <c r="H17" s="57"/>
      <c r="I17" s="57"/>
      <c r="J17" s="57"/>
      <c r="K17" s="57"/>
      <c r="L17" s="103"/>
      <c r="M17" s="104"/>
    </row>
    <row r="18" spans="2:13" x14ac:dyDescent="0.25">
      <c r="B18" s="100" t="s">
        <v>129</v>
      </c>
      <c r="C18" s="100"/>
      <c r="D18" s="102"/>
      <c r="E18" s="102"/>
      <c r="F18" s="102"/>
      <c r="G18" s="102"/>
      <c r="H18" s="102"/>
      <c r="I18" s="102"/>
      <c r="J18" s="102"/>
      <c r="K18" s="103"/>
      <c r="L18" s="103"/>
      <c r="M18" s="104"/>
    </row>
    <row r="19" spans="2:13" ht="15.75" customHeight="1" x14ac:dyDescent="0.25">
      <c r="B19" s="100" t="s">
        <v>130</v>
      </c>
      <c r="C19" s="100"/>
      <c r="D19" s="57"/>
      <c r="E19" s="57"/>
      <c r="F19" s="57"/>
      <c r="G19" s="57"/>
      <c r="H19" s="57"/>
      <c r="I19" s="57"/>
      <c r="J19" s="57"/>
      <c r="K19" s="57"/>
      <c r="L19" s="59"/>
      <c r="M19" s="104"/>
    </row>
    <row r="20" spans="2:13" x14ac:dyDescent="0.25">
      <c r="B20" s="100" t="s">
        <v>131</v>
      </c>
      <c r="C20" s="100"/>
      <c r="D20" s="102"/>
      <c r="E20" s="102"/>
      <c r="F20" s="102"/>
      <c r="G20" s="102"/>
      <c r="H20" s="102"/>
      <c r="I20" s="102"/>
      <c r="J20" s="102"/>
      <c r="K20" s="103"/>
      <c r="L20" s="103"/>
      <c r="M20" s="104"/>
    </row>
    <row r="21" spans="2:13" ht="15.75" customHeight="1" x14ac:dyDescent="0.25">
      <c r="B21" s="105" t="s">
        <v>132</v>
      </c>
      <c r="C21" s="100"/>
      <c r="D21" s="59"/>
      <c r="E21" s="59"/>
      <c r="F21" s="59"/>
      <c r="G21" s="59"/>
      <c r="H21" s="59"/>
      <c r="I21" s="59"/>
      <c r="J21" s="59"/>
      <c r="K21" s="103"/>
      <c r="L21" s="103"/>
      <c r="M21" s="104"/>
    </row>
    <row r="22" spans="2:13" ht="15" customHeight="1" x14ac:dyDescent="0.25">
      <c r="B22" s="106" t="s">
        <v>258</v>
      </c>
      <c r="C22" s="100"/>
      <c r="D22" s="103"/>
      <c r="E22" s="103"/>
      <c r="F22" s="103"/>
      <c r="G22" s="103"/>
      <c r="H22" s="103"/>
      <c r="I22" s="103"/>
      <c r="J22" s="103"/>
      <c r="K22" s="103"/>
      <c r="L22" s="103"/>
      <c r="M22" s="104"/>
    </row>
    <row r="23" spans="2:13" x14ac:dyDescent="0.25">
      <c r="B23" s="106" t="s">
        <v>259</v>
      </c>
      <c r="C23" s="100"/>
      <c r="D23" s="103"/>
      <c r="E23" s="103"/>
      <c r="F23" s="103"/>
      <c r="G23" s="103"/>
      <c r="H23" s="103"/>
      <c r="I23" s="103"/>
      <c r="J23" s="103"/>
      <c r="K23" s="103"/>
      <c r="L23" s="103"/>
      <c r="M23" s="104"/>
    </row>
    <row r="24" spans="2:13" x14ac:dyDescent="0.25">
      <c r="B24" s="106"/>
      <c r="C24" s="100"/>
      <c r="D24" s="103"/>
      <c r="E24" s="103"/>
      <c r="F24" s="103"/>
      <c r="G24" s="103"/>
      <c r="H24" s="103"/>
      <c r="I24" s="103"/>
      <c r="J24" s="103"/>
      <c r="K24" s="103"/>
      <c r="L24" s="103"/>
      <c r="M24" s="104"/>
    </row>
    <row r="25" spans="2:13" x14ac:dyDescent="0.25">
      <c r="B25" s="100" t="s">
        <v>354</v>
      </c>
      <c r="C25" s="100"/>
      <c r="D25" s="103"/>
      <c r="E25" s="103"/>
      <c r="F25" s="103"/>
      <c r="G25" s="103"/>
      <c r="H25" s="103"/>
      <c r="I25" s="103"/>
      <c r="J25" s="103"/>
      <c r="K25" s="103"/>
      <c r="L25" s="103"/>
      <c r="M25" s="104"/>
    </row>
    <row r="26" spans="2:13" x14ac:dyDescent="0.25">
      <c r="B26" s="100" t="s">
        <v>355</v>
      </c>
      <c r="C26" s="100"/>
      <c r="D26" s="59"/>
      <c r="E26" s="59"/>
      <c r="F26" s="59"/>
      <c r="G26" s="59"/>
      <c r="H26" s="59"/>
      <c r="I26" s="59"/>
      <c r="J26" s="59"/>
      <c r="K26" s="59"/>
      <c r="L26" s="59"/>
      <c r="M26" s="60"/>
    </row>
    <row r="27" spans="2:13" x14ac:dyDescent="0.25">
      <c r="B27" s="100" t="s">
        <v>260</v>
      </c>
      <c r="C27" s="100"/>
      <c r="D27" s="59"/>
      <c r="E27" s="59"/>
      <c r="F27" s="59"/>
      <c r="G27" s="59"/>
      <c r="H27" s="59"/>
      <c r="I27" s="59"/>
      <c r="J27" s="59"/>
      <c r="K27" s="59"/>
      <c r="L27" s="59"/>
      <c r="M27" s="60"/>
    </row>
    <row r="28" spans="2:13" x14ac:dyDescent="0.25">
      <c r="B28" s="100" t="s">
        <v>133</v>
      </c>
      <c r="C28" s="100"/>
      <c r="D28" s="103"/>
      <c r="E28" s="103"/>
      <c r="F28" s="103"/>
      <c r="G28" s="103"/>
      <c r="H28" s="103"/>
      <c r="I28" s="103"/>
      <c r="J28" s="103"/>
      <c r="K28" s="103"/>
      <c r="L28" s="103"/>
      <c r="M28" s="104"/>
    </row>
    <row r="29" spans="2:13" x14ac:dyDescent="0.25">
      <c r="B29" s="100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4"/>
    </row>
    <row r="30" spans="2:13" x14ac:dyDescent="0.25">
      <c r="B30" s="335" t="s">
        <v>134</v>
      </c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7"/>
    </row>
    <row r="31" spans="2:13" x14ac:dyDescent="0.25">
      <c r="B31" s="100" t="s">
        <v>261</v>
      </c>
      <c r="C31" s="103"/>
      <c r="M31" s="97"/>
    </row>
    <row r="32" spans="2:13" x14ac:dyDescent="0.25">
      <c r="B32" s="106" t="s">
        <v>263</v>
      </c>
      <c r="C32" s="103"/>
      <c r="M32" s="97"/>
    </row>
    <row r="33" spans="2:13" x14ac:dyDescent="0.25">
      <c r="B33" s="106" t="s">
        <v>262</v>
      </c>
      <c r="C33" s="103"/>
      <c r="M33" s="97"/>
    </row>
    <row r="34" spans="2:13" x14ac:dyDescent="0.25">
      <c r="B34" s="106" t="s">
        <v>264</v>
      </c>
      <c r="C34" s="103"/>
      <c r="M34" s="97"/>
    </row>
    <row r="35" spans="2:13" x14ac:dyDescent="0.25">
      <c r="B35" s="106" t="s">
        <v>265</v>
      </c>
      <c r="C35" s="103"/>
      <c r="M35" s="97"/>
    </row>
    <row r="36" spans="2:13" x14ac:dyDescent="0.25">
      <c r="B36" s="106" t="s">
        <v>266</v>
      </c>
      <c r="C36" s="107"/>
      <c r="M36" s="97"/>
    </row>
    <row r="37" spans="2:13" ht="27" customHeight="1" x14ac:dyDescent="0.25">
      <c r="B37" s="335" t="s">
        <v>335</v>
      </c>
      <c r="C37" s="336"/>
      <c r="D37" s="336"/>
      <c r="E37" s="336"/>
      <c r="F37" s="336"/>
      <c r="G37" s="336"/>
      <c r="H37" s="336"/>
      <c r="I37" s="336"/>
      <c r="J37" s="336"/>
      <c r="K37" s="336"/>
      <c r="L37" s="336"/>
      <c r="M37" s="337"/>
    </row>
    <row r="38" spans="2:13" x14ac:dyDescent="0.25">
      <c r="B38" s="122" t="s">
        <v>375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4"/>
    </row>
    <row r="39" spans="2:13" x14ac:dyDescent="0.25">
      <c r="B39" s="125" t="s">
        <v>376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4"/>
    </row>
    <row r="40" spans="2:13" x14ac:dyDescent="0.25">
      <c r="B40" s="125" t="s">
        <v>356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4"/>
    </row>
    <row r="41" spans="2:13" x14ac:dyDescent="0.25">
      <c r="B41" s="125" t="s">
        <v>357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4"/>
    </row>
    <row r="42" spans="2:13" x14ac:dyDescent="0.25">
      <c r="B42" s="125" t="s">
        <v>358</v>
      </c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4"/>
    </row>
    <row r="43" spans="2:13" x14ac:dyDescent="0.25">
      <c r="B43" s="125" t="s">
        <v>359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4"/>
    </row>
    <row r="44" spans="2:13" x14ac:dyDescent="0.25">
      <c r="B44" s="122" t="s">
        <v>377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7"/>
    </row>
    <row r="45" spans="2:13" x14ac:dyDescent="0.25">
      <c r="B45" s="122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7"/>
    </row>
    <row r="46" spans="2:13" x14ac:dyDescent="0.25">
      <c r="B46" s="338" t="s">
        <v>360</v>
      </c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40"/>
    </row>
    <row r="47" spans="2:13" x14ac:dyDescent="0.25">
      <c r="B47" s="106" t="s">
        <v>328</v>
      </c>
      <c r="M47" s="97"/>
    </row>
    <row r="48" spans="2:13" x14ac:dyDescent="0.25">
      <c r="B48" s="106" t="s">
        <v>329</v>
      </c>
      <c r="M48" s="97"/>
    </row>
    <row r="49" spans="2:13" x14ac:dyDescent="0.25">
      <c r="B49" s="106" t="s">
        <v>330</v>
      </c>
      <c r="M49" s="97"/>
    </row>
    <row r="50" spans="2:13" x14ac:dyDescent="0.25">
      <c r="B50" s="106" t="s">
        <v>326</v>
      </c>
      <c r="M50" s="97"/>
    </row>
    <row r="51" spans="2:13" x14ac:dyDescent="0.25">
      <c r="B51" s="106" t="s">
        <v>327</v>
      </c>
      <c r="M51" s="97"/>
    </row>
    <row r="52" spans="2:13" x14ac:dyDescent="0.25">
      <c r="B52" s="125" t="s">
        <v>408</v>
      </c>
      <c r="C52" s="126"/>
      <c r="D52" s="126"/>
      <c r="E52" s="126"/>
      <c r="F52" s="126"/>
      <c r="M52" s="97"/>
    </row>
    <row r="53" spans="2:13" x14ac:dyDescent="0.25">
      <c r="B53" s="106" t="s">
        <v>331</v>
      </c>
      <c r="M53" s="97"/>
    </row>
    <row r="54" spans="2:13" x14ac:dyDescent="0.25">
      <c r="B54" s="106" t="s">
        <v>332</v>
      </c>
      <c r="M54" s="97"/>
    </row>
    <row r="55" spans="2:13" x14ac:dyDescent="0.25">
      <c r="B55" s="106" t="s">
        <v>333</v>
      </c>
      <c r="M55" s="97"/>
    </row>
    <row r="56" spans="2:13" x14ac:dyDescent="0.25">
      <c r="B56" s="106"/>
      <c r="M56" s="97"/>
    </row>
    <row r="57" spans="2:13" s="128" customFormat="1" x14ac:dyDescent="0.25">
      <c r="B57" s="332" t="s">
        <v>378</v>
      </c>
      <c r="C57" s="333"/>
      <c r="D57" s="333"/>
      <c r="E57" s="333"/>
      <c r="F57" s="333"/>
      <c r="G57" s="333"/>
      <c r="H57" s="333"/>
      <c r="I57" s="333"/>
      <c r="J57" s="333"/>
      <c r="K57" s="333"/>
      <c r="L57" s="333"/>
      <c r="M57" s="334"/>
    </row>
    <row r="58" spans="2:13" s="128" customFormat="1" x14ac:dyDescent="0.25">
      <c r="B58" s="330" t="s">
        <v>379</v>
      </c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129"/>
    </row>
    <row r="59" spans="2:13" x14ac:dyDescent="0.25">
      <c r="B59" s="106" t="s">
        <v>268</v>
      </c>
      <c r="M59" s="97"/>
    </row>
    <row r="60" spans="2:13" x14ac:dyDescent="0.25">
      <c r="B60" s="106" t="s">
        <v>394</v>
      </c>
      <c r="M60" s="97"/>
    </row>
    <row r="61" spans="2:13" x14ac:dyDescent="0.25">
      <c r="B61" s="106" t="s">
        <v>361</v>
      </c>
      <c r="M61" s="97"/>
    </row>
    <row r="62" spans="2:13" x14ac:dyDescent="0.25">
      <c r="B62" s="106" t="s">
        <v>269</v>
      </c>
      <c r="M62" s="97"/>
    </row>
    <row r="63" spans="2:13" x14ac:dyDescent="0.25">
      <c r="B63" s="106" t="s">
        <v>270</v>
      </c>
      <c r="M63" s="97"/>
    </row>
    <row r="64" spans="2:13" x14ac:dyDescent="0.25">
      <c r="B64" s="125" t="s">
        <v>380</v>
      </c>
      <c r="M64" s="97"/>
    </row>
    <row r="65" spans="2:13" x14ac:dyDescent="0.25">
      <c r="B65" s="106" t="s">
        <v>271</v>
      </c>
      <c r="M65" s="97"/>
    </row>
    <row r="66" spans="2:13" x14ac:dyDescent="0.25">
      <c r="B66" s="106" t="s">
        <v>272</v>
      </c>
      <c r="M66" s="97"/>
    </row>
    <row r="67" spans="2:13" x14ac:dyDescent="0.25">
      <c r="B67" s="106" t="s">
        <v>273</v>
      </c>
      <c r="M67" s="97"/>
    </row>
    <row r="68" spans="2:13" ht="16.5" thickBot="1" x14ac:dyDescent="0.3">
      <c r="B68" s="108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10"/>
    </row>
  </sheetData>
  <sheetProtection algorithmName="SHA-512" hashValue="H6QbPdlyO01qbwS5bHu4BvklPPcLOdL26xM/i7P5xJ2d4FES6f/XM9g0FLzlKMBQv3hJ76ereWVd/JkuRT6k1A==" saltValue="2rFTNlqc1gfQm+GkQT7ULw==" spinCount="100000" sheet="1" formatCells="0" formatColumns="0" formatRows="0"/>
  <mergeCells count="6">
    <mergeCell ref="B58:L58"/>
    <mergeCell ref="B57:M57"/>
    <mergeCell ref="B8:M8"/>
    <mergeCell ref="B30:M30"/>
    <mergeCell ref="B37:M37"/>
    <mergeCell ref="B46:M46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8"/>
  <sheetViews>
    <sheetView showGridLines="0" rightToLeft="1" topLeftCell="A12" zoomScale="140" zoomScaleNormal="140" workbookViewId="0">
      <selection activeCell="E16" sqref="E16"/>
    </sheetView>
  </sheetViews>
  <sheetFormatPr defaultRowHeight="15.75" x14ac:dyDescent="0.25"/>
  <cols>
    <col min="1" max="1" width="9" style="149"/>
    <col min="2" max="2" width="32.125" style="149" customWidth="1"/>
    <col min="3" max="3" width="37.875" style="149" customWidth="1"/>
    <col min="4" max="16384" width="9" style="149"/>
  </cols>
  <sheetData>
    <row r="2" spans="2:3" x14ac:dyDescent="0.25">
      <c r="B2" s="148" t="s">
        <v>386</v>
      </c>
    </row>
    <row r="4" spans="2:3" x14ac:dyDescent="0.25">
      <c r="B4" s="150" t="s">
        <v>280</v>
      </c>
    </row>
    <row r="5" spans="2:3" x14ac:dyDescent="0.25">
      <c r="B5" s="150" t="s">
        <v>135</v>
      </c>
    </row>
    <row r="6" spans="2:3" x14ac:dyDescent="0.25">
      <c r="B6" s="150" t="s">
        <v>136</v>
      </c>
    </row>
    <row r="8" spans="2:3" x14ac:dyDescent="0.25">
      <c r="B8" s="151" t="s">
        <v>137</v>
      </c>
      <c r="C8" s="151" t="s">
        <v>103</v>
      </c>
    </row>
    <row r="9" spans="2:3" ht="78.75" x14ac:dyDescent="0.25">
      <c r="B9" s="152" t="s">
        <v>145</v>
      </c>
      <c r="C9" s="152" t="s">
        <v>395</v>
      </c>
    </row>
    <row r="10" spans="2:3" ht="75" customHeight="1" x14ac:dyDescent="0.25">
      <c r="B10" s="341" t="s">
        <v>138</v>
      </c>
      <c r="C10" s="342" t="s">
        <v>384</v>
      </c>
    </row>
    <row r="11" spans="2:3" ht="12" customHeight="1" x14ac:dyDescent="0.25">
      <c r="B11" s="341"/>
      <c r="C11" s="343"/>
    </row>
    <row r="12" spans="2:3" ht="78.75" x14ac:dyDescent="0.25">
      <c r="B12" s="152" t="s">
        <v>139</v>
      </c>
      <c r="C12" s="153" t="s">
        <v>381</v>
      </c>
    </row>
    <row r="13" spans="2:3" ht="87.75" customHeight="1" x14ac:dyDescent="0.25">
      <c r="B13" s="154" t="s">
        <v>382</v>
      </c>
      <c r="C13" s="154" t="s">
        <v>383</v>
      </c>
    </row>
    <row r="14" spans="2:3" ht="30" customHeight="1" x14ac:dyDescent="0.25">
      <c r="B14" s="341" t="s">
        <v>146</v>
      </c>
      <c r="C14" s="152" t="s">
        <v>140</v>
      </c>
    </row>
    <row r="15" spans="2:3" ht="30" customHeight="1" x14ac:dyDescent="0.25">
      <c r="B15" s="341"/>
      <c r="C15" s="152" t="s">
        <v>141</v>
      </c>
    </row>
    <row r="16" spans="2:3" ht="44.25" customHeight="1" x14ac:dyDescent="0.25">
      <c r="B16" s="341"/>
      <c r="C16" s="152" t="s">
        <v>142</v>
      </c>
    </row>
    <row r="17" spans="2:3" ht="47.25" x14ac:dyDescent="0.25">
      <c r="B17" s="152" t="s">
        <v>147</v>
      </c>
      <c r="C17" s="152" t="s">
        <v>143</v>
      </c>
    </row>
    <row r="18" spans="2:3" ht="110.25" x14ac:dyDescent="0.25">
      <c r="B18" s="152" t="s">
        <v>144</v>
      </c>
      <c r="C18" s="152" t="s">
        <v>362</v>
      </c>
    </row>
  </sheetData>
  <sheetProtection algorithmName="SHA-512" hashValue="vQT2jpJw0isTga6WnqcCutw6IBGJ77lqFOhxETuc96NqRLnbYR6KtbJEf2RkPvQL8div8FFJm85d6kOioLYy4Q==" saltValue="ROjMTfrSyVWYGN3wQCo0lg==" spinCount="100000" sheet="1" formatCells="0" formatColumns="0" formatRows="0"/>
  <mergeCells count="3">
    <mergeCell ref="B10:B11"/>
    <mergeCell ref="B14:B16"/>
    <mergeCell ref="C10:C1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rightToLeft="1" zoomScaleNormal="100" workbookViewId="0">
      <selection activeCell="E4" sqref="E4:H4"/>
    </sheetView>
  </sheetViews>
  <sheetFormatPr defaultRowHeight="30" customHeight="1" x14ac:dyDescent="0.25"/>
  <cols>
    <col min="1" max="3" width="9" style="315"/>
    <col min="4" max="4" width="22.25" style="315" customWidth="1"/>
    <col min="5" max="10" width="9" style="315"/>
    <col min="11" max="11" width="16.875" style="315" customWidth="1"/>
    <col min="12" max="16384" width="9" style="315"/>
  </cols>
  <sheetData>
    <row r="1" spans="2:11" ht="30" customHeight="1" thickBot="1" x14ac:dyDescent="0.3"/>
    <row r="2" spans="2:11" ht="30" customHeight="1" x14ac:dyDescent="0.25">
      <c r="B2" s="320"/>
      <c r="C2" s="314"/>
      <c r="D2" s="314"/>
      <c r="E2" s="314" t="s">
        <v>279</v>
      </c>
      <c r="F2" s="314"/>
      <c r="G2" s="314"/>
      <c r="H2" s="314"/>
      <c r="I2" s="314"/>
      <c r="J2" s="314"/>
      <c r="K2" s="321"/>
    </row>
    <row r="3" spans="2:11" ht="30" customHeight="1" x14ac:dyDescent="0.25">
      <c r="B3" s="322"/>
      <c r="C3" s="315" t="s">
        <v>115</v>
      </c>
      <c r="E3" s="346"/>
      <c r="F3" s="346"/>
      <c r="G3" s="346"/>
      <c r="H3" s="346"/>
      <c r="K3" s="323"/>
    </row>
    <row r="4" spans="2:11" ht="30" customHeight="1" x14ac:dyDescent="0.25">
      <c r="B4" s="322"/>
      <c r="C4" s="315" t="s">
        <v>116</v>
      </c>
      <c r="E4" s="345"/>
      <c r="F4" s="345"/>
      <c r="G4" s="345"/>
      <c r="H4" s="345"/>
      <c r="K4" s="323"/>
    </row>
    <row r="5" spans="2:11" ht="30" customHeight="1" x14ac:dyDescent="0.25">
      <c r="B5" s="322"/>
      <c r="C5" s="315" t="s">
        <v>363</v>
      </c>
      <c r="E5" s="345"/>
      <c r="F5" s="345"/>
      <c r="G5" s="345"/>
      <c r="H5" s="345"/>
      <c r="K5" s="323"/>
    </row>
    <row r="6" spans="2:11" ht="30" customHeight="1" x14ac:dyDescent="0.25">
      <c r="B6" s="322"/>
      <c r="C6" s="315" t="s">
        <v>275</v>
      </c>
      <c r="E6" s="345"/>
      <c r="F6" s="345"/>
      <c r="G6" s="345"/>
      <c r="H6" s="345"/>
      <c r="K6" s="323"/>
    </row>
    <row r="7" spans="2:11" ht="30" customHeight="1" x14ac:dyDescent="0.25">
      <c r="B7" s="322"/>
      <c r="C7" s="315" t="s">
        <v>276</v>
      </c>
      <c r="E7" s="345"/>
      <c r="F7" s="345"/>
      <c r="G7" s="345"/>
      <c r="H7" s="345"/>
      <c r="K7" s="323"/>
    </row>
    <row r="8" spans="2:11" ht="30" customHeight="1" x14ac:dyDescent="0.25">
      <c r="B8" s="322"/>
      <c r="C8" s="315" t="s">
        <v>277</v>
      </c>
      <c r="E8" s="345"/>
      <c r="F8" s="345"/>
      <c r="G8" s="345"/>
      <c r="H8" s="345"/>
      <c r="K8" s="323"/>
    </row>
    <row r="9" spans="2:11" ht="29.25" customHeight="1" x14ac:dyDescent="0.25">
      <c r="B9" s="322"/>
      <c r="C9" s="315" t="s">
        <v>278</v>
      </c>
      <c r="E9" s="345"/>
      <c r="F9" s="345"/>
      <c r="G9" s="345"/>
      <c r="H9" s="345"/>
      <c r="K9" s="323"/>
    </row>
    <row r="10" spans="2:11" ht="15" customHeight="1" x14ac:dyDescent="0.25">
      <c r="B10" s="322"/>
      <c r="E10" s="161"/>
      <c r="F10" s="161"/>
      <c r="G10" s="161"/>
      <c r="H10" s="161"/>
      <c r="K10" s="323"/>
    </row>
    <row r="11" spans="2:11" ht="30" customHeight="1" x14ac:dyDescent="0.25">
      <c r="B11" s="322"/>
      <c r="C11" s="316" t="s">
        <v>385</v>
      </c>
      <c r="E11" s="257"/>
      <c r="F11" s="155"/>
      <c r="G11" s="155"/>
      <c r="H11" s="155"/>
      <c r="K11" s="323"/>
    </row>
    <row r="12" spans="2:11" ht="30" customHeight="1" x14ac:dyDescent="0.25">
      <c r="B12" s="322"/>
      <c r="C12" s="315" t="s">
        <v>233</v>
      </c>
      <c r="E12" s="257"/>
      <c r="F12" s="155"/>
      <c r="G12" s="155"/>
      <c r="H12" s="155"/>
      <c r="K12" s="323"/>
    </row>
    <row r="13" spans="2:11" ht="30" customHeight="1" x14ac:dyDescent="0.25">
      <c r="B13" s="322"/>
      <c r="C13" s="317" t="s">
        <v>283</v>
      </c>
      <c r="E13" s="257"/>
      <c r="F13" s="327" t="s">
        <v>396</v>
      </c>
      <c r="G13" s="155"/>
      <c r="H13" s="155"/>
      <c r="K13" s="323"/>
    </row>
    <row r="14" spans="2:11" ht="30" hidden="1" customHeight="1" x14ac:dyDescent="0.25">
      <c r="B14" s="322"/>
      <c r="C14" s="318" t="s">
        <v>310</v>
      </c>
      <c r="E14" s="156">
        <v>200</v>
      </c>
      <c r="F14" s="157"/>
      <c r="G14" s="155"/>
      <c r="H14" s="155"/>
      <c r="K14" s="323"/>
    </row>
    <row r="15" spans="2:11" ht="30" customHeight="1" x14ac:dyDescent="0.25">
      <c r="B15" s="322"/>
      <c r="C15" s="315" t="s">
        <v>117</v>
      </c>
      <c r="E15" s="344"/>
      <c r="F15" s="344"/>
      <c r="G15" s="344"/>
      <c r="H15" s="344"/>
      <c r="K15" s="323"/>
    </row>
    <row r="16" spans="2:11" ht="30" customHeight="1" x14ac:dyDescent="0.25">
      <c r="B16" s="322"/>
      <c r="C16" s="315" t="s">
        <v>118</v>
      </c>
      <c r="E16" s="345"/>
      <c r="F16" s="345"/>
      <c r="G16" s="345"/>
      <c r="H16" s="345"/>
      <c r="K16" s="323"/>
    </row>
    <row r="17" spans="2:11" ht="30" customHeight="1" x14ac:dyDescent="0.25">
      <c r="B17" s="322"/>
      <c r="C17" s="319" t="s">
        <v>387</v>
      </c>
      <c r="E17" s="345"/>
      <c r="F17" s="345"/>
      <c r="G17" s="345"/>
      <c r="H17" s="345"/>
      <c r="K17" s="323"/>
    </row>
    <row r="18" spans="2:11" ht="30" customHeight="1" x14ac:dyDescent="0.25">
      <c r="B18" s="322"/>
      <c r="C18" s="315" t="s">
        <v>124</v>
      </c>
      <c r="E18" s="155"/>
      <c r="F18" s="158"/>
      <c r="G18" s="155"/>
      <c r="H18" s="155"/>
      <c r="K18" s="323"/>
    </row>
    <row r="19" spans="2:11" ht="30" customHeight="1" x14ac:dyDescent="0.25">
      <c r="B19" s="322"/>
      <c r="C19" s="315" t="s">
        <v>274</v>
      </c>
      <c r="E19" s="155"/>
      <c r="F19" s="159"/>
      <c r="G19" s="155" t="str">
        <f>IF(F19="לא", "לא ניתן להגיש בקשה ללא תכנית עסקית", "")</f>
        <v/>
      </c>
      <c r="H19" s="155"/>
      <c r="K19" s="323"/>
    </row>
    <row r="20" spans="2:11" ht="30" customHeight="1" x14ac:dyDescent="0.25">
      <c r="B20" s="322"/>
      <c r="C20" s="315" t="s">
        <v>397</v>
      </c>
      <c r="E20" s="155"/>
      <c r="F20" s="155"/>
      <c r="G20" s="155"/>
      <c r="H20" s="159"/>
      <c r="I20" s="315" t="str">
        <f>IF(H20="לא", "מסמך חובה להגשה", "")</f>
        <v/>
      </c>
      <c r="K20" s="323"/>
    </row>
    <row r="21" spans="2:11" ht="30" customHeight="1" thickBot="1" x14ac:dyDescent="0.3">
      <c r="B21" s="324"/>
      <c r="C21" s="325"/>
      <c r="D21" s="325"/>
      <c r="E21" s="160"/>
      <c r="F21" s="160"/>
      <c r="G21" s="160"/>
      <c r="H21" s="160"/>
      <c r="I21" s="325"/>
      <c r="J21" s="325"/>
      <c r="K21" s="326"/>
    </row>
    <row r="46" spans="1:1" ht="30" customHeight="1" x14ac:dyDescent="0.25">
      <c r="A46" s="315" t="s">
        <v>267</v>
      </c>
    </row>
  </sheetData>
  <sheetProtection algorithmName="SHA-512" hashValue="zNrclQGU1/iHzqbjionTo1CwaX4c85428CiIRRHEFyJroz0l9dzwXdkcoa+6VUnuzUqDklHYv+tSB1MxuShztQ==" saltValue="5dXmwsxZG23o1il+emO2Ug==" spinCount="100000" sheet="1" formatCells="0" formatColumns="0" formatRows="0"/>
  <mergeCells count="10">
    <mergeCell ref="E15:H15"/>
    <mergeCell ref="E16:H16"/>
    <mergeCell ref="E17:H17"/>
    <mergeCell ref="E9:H9"/>
    <mergeCell ref="E3:H3"/>
    <mergeCell ref="E4:H4"/>
    <mergeCell ref="E5:H5"/>
    <mergeCell ref="E6:H6"/>
    <mergeCell ref="E7:H7"/>
    <mergeCell ref="E8:H8"/>
  </mergeCells>
  <dataValidations count="2">
    <dataValidation type="list" allowBlank="1" showInputMessage="1" showErrorMessage="1" sqref="F18">
      <formula1>"1,2,3,4,5,6,7,8,9,10"</formula1>
    </dataValidation>
    <dataValidation type="list" allowBlank="1" showInputMessage="1" showErrorMessage="1" sqref="F19 H20">
      <formula1>"כן, לא"</formula1>
    </dataValidation>
  </dataValidations>
  <pageMargins left="0.7" right="0.7" top="0.75" bottom="0.75" header="0.3" footer="0.3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5"/>
  <sheetViews>
    <sheetView rightToLeft="1" topLeftCell="A3" zoomScale="75" zoomScaleNormal="75" workbookViewId="0">
      <selection activeCell="U7" sqref="U7"/>
    </sheetView>
  </sheetViews>
  <sheetFormatPr defaultColWidth="33.5" defaultRowHeight="15.75" x14ac:dyDescent="0.2"/>
  <cols>
    <col min="1" max="1" width="6.25" style="233" customWidth="1"/>
    <col min="2" max="2" width="20.625" style="255" customWidth="1"/>
    <col min="3" max="3" width="40.625" style="255" customWidth="1"/>
    <col min="4" max="6" width="6.625" style="163" customWidth="1"/>
    <col min="7" max="8" width="12.625" style="163" customWidth="1"/>
    <col min="9" max="9" width="5.625" style="233" customWidth="1"/>
    <col min="10" max="10" width="7.625" style="233" customWidth="1"/>
    <col min="11" max="11" width="30.625" style="233" customWidth="1"/>
    <col min="12" max="12" width="20.625" style="233" customWidth="1"/>
    <col min="13" max="13" width="5.625" style="233" customWidth="1"/>
    <col min="14" max="15" width="7.625" style="233" customWidth="1"/>
    <col min="16" max="16" width="12.625" style="233" customWidth="1"/>
    <col min="17" max="17" width="20.625" style="233" customWidth="1"/>
    <col min="18" max="18" width="5.625" style="233" customWidth="1"/>
    <col min="19" max="19" width="7.5" style="259" customWidth="1"/>
    <col min="20" max="20" width="7.625" style="163" customWidth="1"/>
    <col min="21" max="21" width="7.625" style="233" customWidth="1"/>
    <col min="22" max="22" width="12.625" style="163" customWidth="1"/>
    <col min="23" max="23" width="20.625" style="233" customWidth="1"/>
    <col min="24" max="16384" width="33.5" style="233"/>
  </cols>
  <sheetData>
    <row r="1" spans="2:23" x14ac:dyDescent="0.2">
      <c r="B1" s="231"/>
      <c r="C1" s="231"/>
      <c r="D1" s="162"/>
      <c r="E1" s="162"/>
      <c r="F1" s="162"/>
      <c r="G1" s="162"/>
      <c r="H1" s="162"/>
    </row>
    <row r="2" spans="2:23" ht="23.25" x14ac:dyDescent="0.2">
      <c r="B2" s="266" t="s">
        <v>393</v>
      </c>
      <c r="C2" s="267"/>
      <c r="D2" s="265"/>
      <c r="E2" s="264" t="s">
        <v>303</v>
      </c>
      <c r="F2" s="164"/>
      <c r="G2" s="164"/>
      <c r="H2" s="164"/>
    </row>
    <row r="3" spans="2:23" x14ac:dyDescent="0.2">
      <c r="B3" s="234" t="s">
        <v>292</v>
      </c>
      <c r="C3" s="268"/>
      <c r="D3" s="162"/>
      <c r="E3" s="162"/>
      <c r="F3" s="162"/>
      <c r="G3" s="162"/>
      <c r="H3" s="162"/>
    </row>
    <row r="4" spans="2:23" ht="16.5" thickBot="1" x14ac:dyDescent="0.25">
      <c r="B4" s="231"/>
      <c r="C4" s="231"/>
      <c r="D4" s="162"/>
      <c r="E4" s="162"/>
      <c r="F4" s="162"/>
      <c r="G4" s="162"/>
      <c r="H4" s="162"/>
    </row>
    <row r="5" spans="2:23" ht="33.75" customHeight="1" x14ac:dyDescent="0.2">
      <c r="B5" s="357" t="s">
        <v>281</v>
      </c>
      <c r="C5" s="351"/>
      <c r="D5" s="351"/>
      <c r="E5" s="351"/>
      <c r="F5" s="351"/>
      <c r="G5" s="351"/>
      <c r="H5" s="351"/>
      <c r="I5" s="235"/>
      <c r="J5" s="351" t="s">
        <v>312</v>
      </c>
      <c r="K5" s="351"/>
      <c r="L5" s="351"/>
      <c r="M5" s="236"/>
      <c r="N5" s="351" t="s">
        <v>112</v>
      </c>
      <c r="O5" s="351"/>
      <c r="P5" s="351"/>
      <c r="Q5" s="351"/>
      <c r="R5" s="236"/>
      <c r="S5" s="351" t="s">
        <v>411</v>
      </c>
      <c r="T5" s="351"/>
      <c r="U5" s="351"/>
      <c r="V5" s="351"/>
      <c r="W5" s="352"/>
    </row>
    <row r="6" spans="2:23" s="256" customFormat="1" ht="47.25" x14ac:dyDescent="0.2">
      <c r="B6" s="174" t="s">
        <v>151</v>
      </c>
      <c r="C6" s="269" t="s">
        <v>152</v>
      </c>
      <c r="D6" s="52" t="s">
        <v>153</v>
      </c>
      <c r="E6" s="52" t="s">
        <v>154</v>
      </c>
      <c r="F6" s="52" t="s">
        <v>150</v>
      </c>
      <c r="G6" s="52" t="s">
        <v>223</v>
      </c>
      <c r="H6" s="52" t="s">
        <v>188</v>
      </c>
      <c r="J6" s="52" t="s">
        <v>311</v>
      </c>
      <c r="K6" s="52" t="s">
        <v>313</v>
      </c>
      <c r="L6" s="52" t="s">
        <v>103</v>
      </c>
      <c r="M6" s="232"/>
      <c r="N6" s="52" t="s">
        <v>102</v>
      </c>
      <c r="O6" s="52" t="s">
        <v>104</v>
      </c>
      <c r="P6" s="52" t="s">
        <v>413</v>
      </c>
      <c r="Q6" s="52" t="s">
        <v>103</v>
      </c>
      <c r="R6" s="232"/>
      <c r="S6" s="52" t="s">
        <v>122</v>
      </c>
      <c r="T6" s="52" t="s">
        <v>113</v>
      </c>
      <c r="U6" s="52" t="s">
        <v>104</v>
      </c>
      <c r="V6" s="63" t="s">
        <v>321</v>
      </c>
      <c r="W6" s="62" t="s">
        <v>103</v>
      </c>
    </row>
    <row r="7" spans="2:23" ht="44.25" customHeight="1" x14ac:dyDescent="0.2">
      <c r="B7" s="361" t="s">
        <v>400</v>
      </c>
      <c r="C7" s="153" t="s">
        <v>399</v>
      </c>
      <c r="D7" s="80" t="s">
        <v>164</v>
      </c>
      <c r="E7" s="80">
        <v>0.25</v>
      </c>
      <c r="F7" s="144">
        <f>E7*'שאלון למילוי הגוף-חובה'!E11</f>
        <v>0</v>
      </c>
      <c r="G7" s="140">
        <v>2106</v>
      </c>
      <c r="H7" s="140">
        <f>G7*F7</f>
        <v>0</v>
      </c>
      <c r="J7" s="238"/>
      <c r="K7" s="239"/>
      <c r="L7" s="240"/>
      <c r="N7" s="238"/>
      <c r="O7" s="241" t="str">
        <f>IFERROR(IF(N7=0,"",IF(OR(N7-F7&gt;0,N7-F7&lt;0), (N7-F7)/F7, "")), "")</f>
        <v/>
      </c>
      <c r="P7" s="292">
        <f>N7*G7</f>
        <v>0</v>
      </c>
      <c r="Q7" s="240"/>
      <c r="S7" s="260" t="s">
        <v>126</v>
      </c>
      <c r="T7" s="242">
        <f>N7</f>
        <v>0</v>
      </c>
      <c r="U7" s="241" t="str">
        <f>IFERROR(IF(T7=0,"",IF(OR(T7-F7&gt;0,T7-F7&lt;0), (T7-F7)/F7, "")), "")</f>
        <v/>
      </c>
      <c r="V7" s="140">
        <f>T7*G7</f>
        <v>0</v>
      </c>
      <c r="W7" s="243"/>
    </row>
    <row r="8" spans="2:23" ht="27.75" customHeight="1" x14ac:dyDescent="0.2">
      <c r="B8" s="362"/>
      <c r="C8" s="153" t="s">
        <v>398</v>
      </c>
      <c r="D8" s="146" t="s">
        <v>164</v>
      </c>
      <c r="E8" s="146">
        <v>0.5</v>
      </c>
      <c r="F8" s="165">
        <f>E8*'שאלון למילוי הגוף-חובה'!E11</f>
        <v>0</v>
      </c>
      <c r="G8" s="145">
        <v>1800</v>
      </c>
      <c r="H8" s="145">
        <f t="shared" ref="H8:H14" si="0">G8*F8</f>
        <v>0</v>
      </c>
      <c r="J8" s="238"/>
      <c r="K8" s="239"/>
      <c r="L8" s="240"/>
      <c r="N8" s="238"/>
      <c r="O8" s="241" t="str">
        <f t="shared" ref="O8:O9" si="1">IFERROR(IF(N8=0,"",IF(OR(N8-F8&gt;0,N8-F8&lt;0), (N8-F8)/F8, "")), "")</f>
        <v/>
      </c>
      <c r="P8" s="292">
        <f t="shared" ref="P8:P14" si="2">N8*G8</f>
        <v>0</v>
      </c>
      <c r="Q8" s="240"/>
      <c r="S8" s="260" t="s">
        <v>126</v>
      </c>
      <c r="T8" s="242">
        <f t="shared" ref="T8:T14" si="3">N8</f>
        <v>0</v>
      </c>
      <c r="U8" s="244"/>
      <c r="V8" s="140">
        <f t="shared" ref="V8:V9" si="4">T8*G8</f>
        <v>0</v>
      </c>
      <c r="W8" s="243"/>
    </row>
    <row r="9" spans="2:23" ht="45.75" customHeight="1" x14ac:dyDescent="0.2">
      <c r="B9" s="363"/>
      <c r="C9" s="153" t="s">
        <v>367</v>
      </c>
      <c r="D9" s="146" t="s">
        <v>164</v>
      </c>
      <c r="E9" s="146">
        <v>1</v>
      </c>
      <c r="F9" s="165">
        <f>E9*'שאלון למילוי הגוף-חובה'!E11</f>
        <v>0</v>
      </c>
      <c r="G9" s="145">
        <v>1500</v>
      </c>
      <c r="H9" s="145">
        <f>G9*F9</f>
        <v>0</v>
      </c>
      <c r="J9" s="238"/>
      <c r="K9" s="239"/>
      <c r="L9" s="240"/>
      <c r="N9" s="238"/>
      <c r="O9" s="241" t="str">
        <f t="shared" si="1"/>
        <v/>
      </c>
      <c r="P9" s="292">
        <f t="shared" si="2"/>
        <v>0</v>
      </c>
      <c r="Q9" s="240"/>
      <c r="S9" s="260" t="s">
        <v>126</v>
      </c>
      <c r="T9" s="242">
        <f t="shared" si="3"/>
        <v>0</v>
      </c>
      <c r="U9" s="244"/>
      <c r="V9" s="140">
        <f t="shared" si="4"/>
        <v>0</v>
      </c>
      <c r="W9" s="243"/>
    </row>
    <row r="10" spans="2:23" x14ac:dyDescent="0.2">
      <c r="B10" s="175" t="s">
        <v>155</v>
      </c>
      <c r="C10" s="152" t="s">
        <v>160</v>
      </c>
      <c r="D10" s="80" t="s">
        <v>164</v>
      </c>
      <c r="E10" s="80">
        <v>1</v>
      </c>
      <c r="F10" s="144">
        <f>E10*'שאלון למילוי הגוף-חובה'!$E$11</f>
        <v>0</v>
      </c>
      <c r="G10" s="143">
        <v>450</v>
      </c>
      <c r="H10" s="143">
        <f t="shared" si="0"/>
        <v>0</v>
      </c>
      <c r="J10" s="238"/>
      <c r="K10" s="238"/>
      <c r="L10" s="240"/>
      <c r="N10" s="238"/>
      <c r="O10" s="241" t="str">
        <f t="shared" ref="O10:O14" si="5">IFERROR(IF(N10=0,"",IF(OR(N10-F10&gt;0,N10-F10&lt;0), (N10-F10)/F10, "")), "")</f>
        <v/>
      </c>
      <c r="P10" s="292">
        <f t="shared" si="2"/>
        <v>0</v>
      </c>
      <c r="Q10" s="240"/>
      <c r="S10" s="260" t="s">
        <v>126</v>
      </c>
      <c r="T10" s="242">
        <f t="shared" si="3"/>
        <v>0</v>
      </c>
      <c r="U10" s="241" t="str">
        <f t="shared" ref="U10:U14" si="6">IFERROR(IF(T10=0,"",IF(OR(T10-F10&gt;0,T10-F10&lt;0), (T10-F10)/F10, "")), "")</f>
        <v/>
      </c>
      <c r="V10" s="143">
        <f t="shared" ref="V10:V14" si="7">T10*G10</f>
        <v>0</v>
      </c>
      <c r="W10" s="243"/>
    </row>
    <row r="11" spans="2:23" x14ac:dyDescent="0.2">
      <c r="B11" s="175" t="s">
        <v>156</v>
      </c>
      <c r="C11" s="152" t="s">
        <v>161</v>
      </c>
      <c r="D11" s="80" t="s">
        <v>164</v>
      </c>
      <c r="E11" s="80">
        <v>0.04</v>
      </c>
      <c r="F11" s="144">
        <f>E11*'שאלון למילוי הגוף-חובה'!$E$11</f>
        <v>0</v>
      </c>
      <c r="G11" s="143">
        <v>400</v>
      </c>
      <c r="H11" s="143">
        <f t="shared" si="0"/>
        <v>0</v>
      </c>
      <c r="J11" s="238"/>
      <c r="K11" s="238"/>
      <c r="L11" s="240"/>
      <c r="N11" s="238"/>
      <c r="O11" s="241" t="str">
        <f t="shared" si="5"/>
        <v/>
      </c>
      <c r="P11" s="292">
        <f t="shared" si="2"/>
        <v>0</v>
      </c>
      <c r="Q11" s="240"/>
      <c r="S11" s="260" t="s">
        <v>126</v>
      </c>
      <c r="T11" s="242">
        <f t="shared" si="3"/>
        <v>0</v>
      </c>
      <c r="U11" s="241" t="str">
        <f t="shared" si="6"/>
        <v/>
      </c>
      <c r="V11" s="143">
        <f t="shared" si="7"/>
        <v>0</v>
      </c>
      <c r="W11" s="243"/>
    </row>
    <row r="12" spans="2:23" x14ac:dyDescent="0.2">
      <c r="B12" s="175" t="s">
        <v>157</v>
      </c>
      <c r="C12" s="152" t="s">
        <v>163</v>
      </c>
      <c r="D12" s="80" t="s">
        <v>164</v>
      </c>
      <c r="E12" s="166">
        <v>6.25E-2</v>
      </c>
      <c r="F12" s="144">
        <f>E12*'שאלון למילוי הגוף-חובה'!$E$11</f>
        <v>0</v>
      </c>
      <c r="G12" s="143">
        <v>2000</v>
      </c>
      <c r="H12" s="143">
        <f t="shared" si="0"/>
        <v>0</v>
      </c>
      <c r="J12" s="238"/>
      <c r="K12" s="238"/>
      <c r="L12" s="240"/>
      <c r="N12" s="238"/>
      <c r="O12" s="241" t="str">
        <f t="shared" si="5"/>
        <v/>
      </c>
      <c r="P12" s="292">
        <f t="shared" si="2"/>
        <v>0</v>
      </c>
      <c r="Q12" s="240"/>
      <c r="S12" s="260" t="s">
        <v>126</v>
      </c>
      <c r="T12" s="242">
        <f t="shared" si="3"/>
        <v>0</v>
      </c>
      <c r="U12" s="241" t="str">
        <f t="shared" si="6"/>
        <v/>
      </c>
      <c r="V12" s="143">
        <f t="shared" si="7"/>
        <v>0</v>
      </c>
      <c r="W12" s="243"/>
    </row>
    <row r="13" spans="2:23" ht="47.25" x14ac:dyDescent="0.2">
      <c r="B13" s="175" t="s">
        <v>158</v>
      </c>
      <c r="C13" s="154" t="s">
        <v>388</v>
      </c>
      <c r="D13" s="80" t="s">
        <v>164</v>
      </c>
      <c r="E13" s="80">
        <v>0.16</v>
      </c>
      <c r="F13" s="144">
        <f>E13*'שאלון למילוי הגוף-חובה'!$E$11</f>
        <v>0</v>
      </c>
      <c r="G13" s="143">
        <v>1800</v>
      </c>
      <c r="H13" s="143">
        <f t="shared" si="0"/>
        <v>0</v>
      </c>
      <c r="J13" s="238"/>
      <c r="K13" s="238"/>
      <c r="L13" s="240"/>
      <c r="N13" s="238"/>
      <c r="O13" s="241" t="str">
        <f t="shared" si="5"/>
        <v/>
      </c>
      <c r="P13" s="292">
        <f t="shared" si="2"/>
        <v>0</v>
      </c>
      <c r="Q13" s="240"/>
      <c r="S13" s="260" t="s">
        <v>126</v>
      </c>
      <c r="T13" s="242">
        <f t="shared" si="3"/>
        <v>0</v>
      </c>
      <c r="U13" s="241" t="str">
        <f t="shared" si="6"/>
        <v/>
      </c>
      <c r="V13" s="140">
        <f t="shared" si="7"/>
        <v>0</v>
      </c>
      <c r="W13" s="243"/>
    </row>
    <row r="14" spans="2:23" ht="47.25" x14ac:dyDescent="0.2">
      <c r="B14" s="175" t="s">
        <v>159</v>
      </c>
      <c r="C14" s="152" t="s">
        <v>162</v>
      </c>
      <c r="D14" s="80" t="s">
        <v>164</v>
      </c>
      <c r="E14" s="80">
        <v>1</v>
      </c>
      <c r="F14" s="144">
        <f>E14*'שאלון למילוי הגוף-חובה'!$E$11</f>
        <v>0</v>
      </c>
      <c r="G14" s="143">
        <v>450</v>
      </c>
      <c r="H14" s="140">
        <f t="shared" si="0"/>
        <v>0</v>
      </c>
      <c r="J14" s="238"/>
      <c r="K14" s="239"/>
      <c r="L14" s="240"/>
      <c r="N14" s="238"/>
      <c r="O14" s="241" t="str">
        <f t="shared" si="5"/>
        <v/>
      </c>
      <c r="P14" s="292">
        <f t="shared" si="2"/>
        <v>0</v>
      </c>
      <c r="Q14" s="240"/>
      <c r="S14" s="260" t="s">
        <v>126</v>
      </c>
      <c r="T14" s="242">
        <f t="shared" si="3"/>
        <v>0</v>
      </c>
      <c r="U14" s="241" t="str">
        <f t="shared" si="6"/>
        <v/>
      </c>
      <c r="V14" s="140">
        <f t="shared" si="7"/>
        <v>0</v>
      </c>
      <c r="W14" s="243"/>
    </row>
    <row r="15" spans="2:23" x14ac:dyDescent="0.2">
      <c r="B15" s="175" t="s">
        <v>28</v>
      </c>
      <c r="C15" s="152" t="s">
        <v>314</v>
      </c>
      <c r="D15" s="80"/>
      <c r="E15" s="80"/>
      <c r="F15" s="258">
        <v>0.05</v>
      </c>
      <c r="G15" s="80"/>
      <c r="H15" s="138">
        <f>SUM(H7:H14)*F15</f>
        <v>0</v>
      </c>
      <c r="J15" s="238"/>
      <c r="K15" s="239"/>
      <c r="L15" s="240"/>
      <c r="N15" s="298"/>
      <c r="O15" s="140"/>
      <c r="P15" s="292"/>
      <c r="Q15" s="240"/>
      <c r="S15" s="260"/>
      <c r="T15" s="242"/>
      <c r="U15" s="299"/>
      <c r="V15" s="140">
        <f>SUM(V7:V14)*F15</f>
        <v>0</v>
      </c>
      <c r="W15" s="243"/>
    </row>
    <row r="16" spans="2:23" ht="16.5" thickBot="1" x14ac:dyDescent="0.25">
      <c r="B16" s="347" t="s">
        <v>106</v>
      </c>
      <c r="C16" s="348"/>
      <c r="D16" s="348"/>
      <c r="E16" s="348"/>
      <c r="F16" s="348"/>
      <c r="G16" s="349"/>
      <c r="H16" s="139">
        <f>SUM(H7:H15)</f>
        <v>0</v>
      </c>
      <c r="I16" s="245"/>
      <c r="J16" s="246"/>
      <c r="K16" s="246"/>
      <c r="L16" s="246"/>
      <c r="M16" s="245"/>
      <c r="N16" s="246"/>
      <c r="O16" s="246"/>
      <c r="P16" s="293">
        <f>SUM(P7:P15)</f>
        <v>0</v>
      </c>
      <c r="Q16" s="246"/>
      <c r="R16" s="245"/>
      <c r="S16" s="261"/>
      <c r="T16" s="247"/>
      <c r="U16" s="248"/>
      <c r="V16" s="137">
        <f>SUM(V7:V15)</f>
        <v>0</v>
      </c>
      <c r="W16" s="249"/>
    </row>
    <row r="17" spans="2:23" x14ac:dyDescent="0.2">
      <c r="B17" s="231"/>
      <c r="C17" s="231"/>
      <c r="D17" s="162"/>
      <c r="E17" s="162"/>
      <c r="F17" s="162"/>
      <c r="G17" s="162"/>
      <c r="H17" s="162"/>
    </row>
    <row r="18" spans="2:23" ht="16.5" thickBot="1" x14ac:dyDescent="0.25">
      <c r="B18" s="231"/>
      <c r="C18" s="231"/>
      <c r="D18" s="162"/>
      <c r="E18" s="162"/>
      <c r="F18" s="162"/>
      <c r="G18" s="162"/>
      <c r="H18" s="162"/>
    </row>
    <row r="19" spans="2:23" x14ac:dyDescent="0.2">
      <c r="B19" s="357" t="s">
        <v>284</v>
      </c>
      <c r="C19" s="351"/>
      <c r="D19" s="351"/>
      <c r="E19" s="351"/>
      <c r="F19" s="351"/>
      <c r="G19" s="351"/>
      <c r="H19" s="351"/>
      <c r="I19" s="235"/>
      <c r="J19" s="350" t="s">
        <v>312</v>
      </c>
      <c r="K19" s="350"/>
      <c r="L19" s="350"/>
      <c r="M19" s="236"/>
      <c r="N19" s="350" t="s">
        <v>112</v>
      </c>
      <c r="O19" s="350"/>
      <c r="P19" s="350"/>
      <c r="Q19" s="350"/>
      <c r="R19" s="236"/>
      <c r="S19" s="350" t="s">
        <v>411</v>
      </c>
      <c r="T19" s="350"/>
      <c r="U19" s="350"/>
      <c r="V19" s="350"/>
      <c r="W19" s="356"/>
    </row>
    <row r="20" spans="2:23" ht="94.5" x14ac:dyDescent="0.2">
      <c r="B20" s="174" t="s">
        <v>151</v>
      </c>
      <c r="C20" s="269" t="s">
        <v>152</v>
      </c>
      <c r="D20" s="52" t="s">
        <v>153</v>
      </c>
      <c r="E20" s="52" t="s">
        <v>154</v>
      </c>
      <c r="F20" s="52" t="s">
        <v>173</v>
      </c>
      <c r="G20" s="52" t="s">
        <v>223</v>
      </c>
      <c r="H20" s="52" t="s">
        <v>188</v>
      </c>
      <c r="J20" s="52" t="s">
        <v>323</v>
      </c>
      <c r="K20" s="52" t="s">
        <v>313</v>
      </c>
      <c r="L20" s="52" t="s">
        <v>103</v>
      </c>
      <c r="M20" s="237"/>
      <c r="N20" s="52" t="s">
        <v>301</v>
      </c>
      <c r="O20" s="52" t="s">
        <v>104</v>
      </c>
      <c r="P20" s="52" t="s">
        <v>413</v>
      </c>
      <c r="Q20" s="52" t="s">
        <v>103</v>
      </c>
      <c r="R20" s="237"/>
      <c r="S20" s="52" t="s">
        <v>122</v>
      </c>
      <c r="T20" s="52" t="s">
        <v>322</v>
      </c>
      <c r="U20" s="52" t="s">
        <v>104</v>
      </c>
      <c r="V20" s="63" t="s">
        <v>321</v>
      </c>
      <c r="W20" s="62" t="s">
        <v>103</v>
      </c>
    </row>
    <row r="21" spans="2:23" ht="47.25" x14ac:dyDescent="0.2">
      <c r="B21" s="175" t="s">
        <v>169</v>
      </c>
      <c r="C21" s="152" t="s">
        <v>170</v>
      </c>
      <c r="D21" s="79" t="s">
        <v>171</v>
      </c>
      <c r="E21" s="80">
        <v>0.4</v>
      </c>
      <c r="F21" s="144">
        <f>E21*'שאלון למילוי הגוף-חובה'!$E$12</f>
        <v>0</v>
      </c>
      <c r="G21" s="140">
        <f>110*1.17</f>
        <v>128.69999999999999</v>
      </c>
      <c r="H21" s="140">
        <f>G21*F21</f>
        <v>0</v>
      </c>
      <c r="J21" s="238"/>
      <c r="K21" s="239"/>
      <c r="L21" s="240"/>
      <c r="N21" s="238"/>
      <c r="O21" s="241" t="str">
        <f>IFERROR(IF(N21=0,"",IF(OR(N21-F21&gt;0,N21-F21&lt;0), (N21-F21)/F21, "")), "")</f>
        <v/>
      </c>
      <c r="P21" s="292">
        <f t="shared" ref="P21" si="8">N21*G21</f>
        <v>0</v>
      </c>
      <c r="Q21" s="240"/>
      <c r="S21" s="260" t="s">
        <v>126</v>
      </c>
      <c r="T21" s="242">
        <f t="shared" ref="T21:T22" si="9">N21</f>
        <v>0</v>
      </c>
      <c r="U21" s="241" t="str">
        <f t="shared" ref="U21:U22" si="10">IFERROR(IF(T21=0,"",IF(OR(T21-F21&gt;0,T21-F21&lt;0), (T21-F21)/F21, "")), "")</f>
        <v/>
      </c>
      <c r="V21" s="140">
        <f>T21*G21</f>
        <v>0</v>
      </c>
      <c r="W21" s="243"/>
    </row>
    <row r="22" spans="2:23" x14ac:dyDescent="0.2">
      <c r="B22" s="175" t="s">
        <v>28</v>
      </c>
      <c r="C22" s="152" t="s">
        <v>319</v>
      </c>
      <c r="D22" s="80"/>
      <c r="E22" s="80"/>
      <c r="F22" s="141">
        <v>0.3</v>
      </c>
      <c r="G22" s="80"/>
      <c r="H22" s="138">
        <f>SUM(H21:H21)*F22</f>
        <v>0</v>
      </c>
      <c r="J22" s="240"/>
      <c r="K22" s="240"/>
      <c r="L22" s="240"/>
      <c r="N22" s="240"/>
      <c r="O22" s="299"/>
      <c r="P22" s="292"/>
      <c r="Q22" s="240"/>
      <c r="S22" s="262"/>
      <c r="T22" s="242">
        <f t="shared" si="9"/>
        <v>0</v>
      </c>
      <c r="U22" s="241" t="str">
        <f t="shared" si="10"/>
        <v/>
      </c>
      <c r="V22" s="140">
        <f>SUM(V21)*F22</f>
        <v>0</v>
      </c>
      <c r="W22" s="243"/>
    </row>
    <row r="23" spans="2:23" ht="16.5" thickBot="1" x14ac:dyDescent="0.25">
      <c r="B23" s="347" t="s">
        <v>106</v>
      </c>
      <c r="C23" s="348"/>
      <c r="D23" s="348"/>
      <c r="E23" s="348"/>
      <c r="F23" s="348"/>
      <c r="G23" s="349"/>
      <c r="H23" s="139">
        <f>SUM(H21:H22)</f>
        <v>0</v>
      </c>
      <c r="I23" s="245"/>
      <c r="J23" s="246"/>
      <c r="K23" s="246"/>
      <c r="L23" s="246"/>
      <c r="M23" s="245"/>
      <c r="N23" s="246"/>
      <c r="O23" s="246"/>
      <c r="P23" s="293">
        <f>SUM(P21:P22)</f>
        <v>0</v>
      </c>
      <c r="Q23" s="246"/>
      <c r="R23" s="245"/>
      <c r="S23" s="261"/>
      <c r="T23" s="247"/>
      <c r="U23" s="248"/>
      <c r="V23" s="137">
        <f>SUM(V21:V22)</f>
        <v>0</v>
      </c>
      <c r="W23" s="249"/>
    </row>
    <row r="24" spans="2:23" ht="16.5" thickBot="1" x14ac:dyDescent="0.25">
      <c r="B24" s="231"/>
      <c r="C24" s="231"/>
      <c r="D24" s="162"/>
      <c r="E24" s="162"/>
      <c r="F24" s="162"/>
      <c r="G24" s="162"/>
      <c r="H24" s="162"/>
    </row>
    <row r="25" spans="2:23" x14ac:dyDescent="0.2">
      <c r="B25" s="357" t="s">
        <v>285</v>
      </c>
      <c r="C25" s="351"/>
      <c r="D25" s="351"/>
      <c r="E25" s="351"/>
      <c r="F25" s="351"/>
      <c r="G25" s="351"/>
      <c r="H25" s="351"/>
      <c r="I25" s="235"/>
      <c r="J25" s="350" t="s">
        <v>312</v>
      </c>
      <c r="K25" s="350"/>
      <c r="L25" s="350"/>
      <c r="M25" s="236"/>
      <c r="N25" s="350" t="s">
        <v>112</v>
      </c>
      <c r="O25" s="350"/>
      <c r="P25" s="350"/>
      <c r="Q25" s="350"/>
      <c r="R25" s="236"/>
      <c r="S25" s="350" t="s">
        <v>411</v>
      </c>
      <c r="T25" s="350"/>
      <c r="U25" s="350"/>
      <c r="V25" s="350"/>
      <c r="W25" s="356"/>
    </row>
    <row r="26" spans="2:23" ht="47.25" x14ac:dyDescent="0.2">
      <c r="B26" s="174" t="s">
        <v>151</v>
      </c>
      <c r="C26" s="269" t="s">
        <v>152</v>
      </c>
      <c r="D26" s="52" t="s">
        <v>153</v>
      </c>
      <c r="E26" s="52" t="s">
        <v>154</v>
      </c>
      <c r="F26" s="52" t="s">
        <v>199</v>
      </c>
      <c r="G26" s="52" t="s">
        <v>223</v>
      </c>
      <c r="H26" s="52" t="s">
        <v>188</v>
      </c>
      <c r="J26" s="52" t="s">
        <v>311</v>
      </c>
      <c r="K26" s="52" t="s">
        <v>313</v>
      </c>
      <c r="L26" s="52" t="s">
        <v>103</v>
      </c>
      <c r="M26" s="237"/>
      <c r="N26" s="52" t="s">
        <v>102</v>
      </c>
      <c r="O26" s="52" t="s">
        <v>104</v>
      </c>
      <c r="P26" s="52" t="s">
        <v>413</v>
      </c>
      <c r="Q26" s="52" t="s">
        <v>103</v>
      </c>
      <c r="R26" s="237"/>
      <c r="S26" s="52" t="s">
        <v>122</v>
      </c>
      <c r="T26" s="52" t="s">
        <v>113</v>
      </c>
      <c r="U26" s="52" t="s">
        <v>104</v>
      </c>
      <c r="V26" s="63" t="s">
        <v>321</v>
      </c>
      <c r="W26" s="62" t="s">
        <v>103</v>
      </c>
    </row>
    <row r="27" spans="2:23" x14ac:dyDescent="0.2">
      <c r="B27" s="358" t="s">
        <v>410</v>
      </c>
      <c r="C27" s="152" t="s">
        <v>365</v>
      </c>
      <c r="D27" s="80" t="s">
        <v>164</v>
      </c>
      <c r="E27" s="80">
        <v>0.1</v>
      </c>
      <c r="F27" s="167">
        <f>E27*'שאלון למילוי הגוף-חובה'!$E$11</f>
        <v>0</v>
      </c>
      <c r="G27" s="143">
        <v>850</v>
      </c>
      <c r="H27" s="143">
        <f t="shared" ref="H27:H31" si="11">G27*F27</f>
        <v>0</v>
      </c>
      <c r="J27" s="238"/>
      <c r="K27" s="239"/>
      <c r="L27" s="240"/>
      <c r="N27" s="238"/>
      <c r="O27" s="241" t="str">
        <f>IFERROR(IF(N27=0,"",IF(OR(N27-F27&gt;0,N27-F27&lt;0), (N27-F27)/F27, "")), "")</f>
        <v/>
      </c>
      <c r="P27" s="292">
        <f t="shared" ref="P27:P31" si="12">N27*G27</f>
        <v>0</v>
      </c>
      <c r="Q27" s="240"/>
      <c r="S27" s="260" t="s">
        <v>126</v>
      </c>
      <c r="T27" s="242">
        <f t="shared" ref="T27:T32" si="13">N27</f>
        <v>0</v>
      </c>
      <c r="U27" s="241" t="str">
        <f t="shared" ref="U27:U32" si="14">IFERROR(IF(T27=0,"",IF(OR(T27-F27&gt;0,T27-F27&lt;0), (T27-F27)/F27, "")), "")</f>
        <v/>
      </c>
      <c r="V27" s="140">
        <f>T27*G27</f>
        <v>0</v>
      </c>
      <c r="W27" s="243"/>
    </row>
    <row r="28" spans="2:23" x14ac:dyDescent="0.2">
      <c r="B28" s="359"/>
      <c r="C28" s="152" t="s">
        <v>366</v>
      </c>
      <c r="D28" s="80" t="s">
        <v>164</v>
      </c>
      <c r="E28" s="80">
        <v>0.25</v>
      </c>
      <c r="F28" s="167">
        <f>E28*'שאלון למילוי הגוף-חובה'!$E$11</f>
        <v>0</v>
      </c>
      <c r="G28" s="143">
        <v>200</v>
      </c>
      <c r="H28" s="143">
        <f t="shared" si="11"/>
        <v>0</v>
      </c>
      <c r="J28" s="238"/>
      <c r="K28" s="239"/>
      <c r="L28" s="240"/>
      <c r="N28" s="238"/>
      <c r="O28" s="241" t="str">
        <f>IFERROR(IF(N28=0,"",IF(OR(N28-F28&gt;0,N28-F28&lt;0), (N28-F28)/F28, "")), "")</f>
        <v/>
      </c>
      <c r="P28" s="292">
        <f t="shared" si="12"/>
        <v>0</v>
      </c>
      <c r="Q28" s="240"/>
      <c r="S28" s="260" t="s">
        <v>126</v>
      </c>
      <c r="T28" s="242">
        <f t="shared" si="13"/>
        <v>0</v>
      </c>
      <c r="U28" s="244"/>
      <c r="V28" s="140">
        <f>T28*G28</f>
        <v>0</v>
      </c>
      <c r="W28" s="243"/>
    </row>
    <row r="29" spans="2:23" x14ac:dyDescent="0.2">
      <c r="B29" s="359"/>
      <c r="C29" s="154" t="s">
        <v>364</v>
      </c>
      <c r="D29" s="146" t="s">
        <v>164</v>
      </c>
      <c r="E29" s="146">
        <v>0.1</v>
      </c>
      <c r="F29" s="168">
        <f>E29*'שאלון למילוי הגוף-חובה'!$E$11</f>
        <v>0</v>
      </c>
      <c r="G29" s="145">
        <v>1650</v>
      </c>
      <c r="H29" s="145">
        <f t="shared" si="11"/>
        <v>0</v>
      </c>
      <c r="J29" s="238"/>
      <c r="K29" s="239"/>
      <c r="L29" s="240"/>
      <c r="N29" s="238"/>
      <c r="O29" s="241" t="str">
        <f t="shared" ref="O29:O31" si="15">IFERROR(IF(N29=0,"",IF(OR(N29-F29&gt;0,N29-F29&lt;0), (N29-F29)/F29, "")), "")</f>
        <v/>
      </c>
      <c r="P29" s="292">
        <f t="shared" si="12"/>
        <v>0</v>
      </c>
      <c r="Q29" s="240"/>
      <c r="S29" s="260" t="s">
        <v>126</v>
      </c>
      <c r="T29" s="242">
        <f t="shared" si="13"/>
        <v>0</v>
      </c>
      <c r="U29" s="241" t="str">
        <f t="shared" si="14"/>
        <v/>
      </c>
      <c r="V29" s="140">
        <f t="shared" ref="V29:V30" si="16">T29*G29</f>
        <v>0</v>
      </c>
      <c r="W29" s="243"/>
    </row>
    <row r="30" spans="2:23" x14ac:dyDescent="0.2">
      <c r="B30" s="360"/>
      <c r="C30" s="154" t="s">
        <v>201</v>
      </c>
      <c r="D30" s="146" t="s">
        <v>164</v>
      </c>
      <c r="E30" s="146">
        <v>0.1</v>
      </c>
      <c r="F30" s="168">
        <f>E30*'שאלון למילוי הגוף-חובה'!$E$11</f>
        <v>0</v>
      </c>
      <c r="G30" s="145">
        <v>1000</v>
      </c>
      <c r="H30" s="145">
        <f t="shared" si="11"/>
        <v>0</v>
      </c>
      <c r="J30" s="238"/>
      <c r="K30" s="239"/>
      <c r="L30" s="240"/>
      <c r="N30" s="238"/>
      <c r="O30" s="241" t="str">
        <f t="shared" si="15"/>
        <v/>
      </c>
      <c r="P30" s="292">
        <f t="shared" si="12"/>
        <v>0</v>
      </c>
      <c r="Q30" s="240"/>
      <c r="S30" s="260" t="s">
        <v>126</v>
      </c>
      <c r="T30" s="242">
        <f t="shared" si="13"/>
        <v>0</v>
      </c>
      <c r="U30" s="241" t="str">
        <f t="shared" si="14"/>
        <v/>
      </c>
      <c r="V30" s="140">
        <f t="shared" si="16"/>
        <v>0</v>
      </c>
      <c r="W30" s="243"/>
    </row>
    <row r="31" spans="2:23" x14ac:dyDescent="0.2">
      <c r="B31" s="175" t="s">
        <v>200</v>
      </c>
      <c r="C31" s="154" t="s">
        <v>202</v>
      </c>
      <c r="D31" s="146" t="s">
        <v>203</v>
      </c>
      <c r="E31" s="169">
        <v>1</v>
      </c>
      <c r="F31" s="165">
        <v>1</v>
      </c>
      <c r="G31" s="145">
        <v>5300</v>
      </c>
      <c r="H31" s="145">
        <f t="shared" si="11"/>
        <v>5300</v>
      </c>
      <c r="J31" s="238"/>
      <c r="K31" s="239"/>
      <c r="L31" s="240"/>
      <c r="N31" s="238"/>
      <c r="O31" s="241" t="str">
        <f t="shared" si="15"/>
        <v/>
      </c>
      <c r="P31" s="292">
        <f t="shared" si="12"/>
        <v>0</v>
      </c>
      <c r="Q31" s="240"/>
      <c r="S31" s="260" t="s">
        <v>126</v>
      </c>
      <c r="T31" s="242">
        <f t="shared" si="13"/>
        <v>0</v>
      </c>
      <c r="U31" s="241" t="str">
        <f t="shared" si="14"/>
        <v/>
      </c>
      <c r="V31" s="140">
        <f>T31*G31</f>
        <v>0</v>
      </c>
      <c r="W31" s="243"/>
    </row>
    <row r="32" spans="2:23" x14ac:dyDescent="0.2">
      <c r="B32" s="175" t="s">
        <v>28</v>
      </c>
      <c r="C32" s="152" t="s">
        <v>314</v>
      </c>
      <c r="D32" s="80"/>
      <c r="E32" s="80"/>
      <c r="F32" s="141">
        <v>0.05</v>
      </c>
      <c r="G32" s="80"/>
      <c r="H32" s="138">
        <f>SUM(H27:H31)*F32</f>
        <v>265</v>
      </c>
      <c r="J32" s="238"/>
      <c r="K32" s="239"/>
      <c r="L32" s="240"/>
      <c r="N32" s="298"/>
      <c r="O32" s="299"/>
      <c r="P32" s="292"/>
      <c r="Q32" s="240"/>
      <c r="S32" s="260"/>
      <c r="T32" s="242">
        <f t="shared" si="13"/>
        <v>0</v>
      </c>
      <c r="U32" s="241" t="str">
        <f t="shared" si="14"/>
        <v/>
      </c>
      <c r="V32" s="140">
        <f>SUM(V27:V31)*F32</f>
        <v>0</v>
      </c>
      <c r="W32" s="243"/>
    </row>
    <row r="33" spans="2:23" ht="16.5" thickBot="1" x14ac:dyDescent="0.25">
      <c r="B33" s="347" t="s">
        <v>106</v>
      </c>
      <c r="C33" s="348"/>
      <c r="D33" s="348"/>
      <c r="E33" s="348"/>
      <c r="F33" s="348"/>
      <c r="G33" s="349"/>
      <c r="H33" s="139">
        <f>SUM(H27:H32)</f>
        <v>5565</v>
      </c>
      <c r="I33" s="245"/>
      <c r="J33" s="246"/>
      <c r="K33" s="246"/>
      <c r="L33" s="246"/>
      <c r="M33" s="245"/>
      <c r="N33" s="246"/>
      <c r="O33" s="246"/>
      <c r="P33" s="293">
        <f>SUM(P27:P32)</f>
        <v>0</v>
      </c>
      <c r="Q33" s="246"/>
      <c r="R33" s="245"/>
      <c r="S33" s="261"/>
      <c r="T33" s="247"/>
      <c r="U33" s="248"/>
      <c r="V33" s="137">
        <f>SUM(V27:V32)</f>
        <v>0</v>
      </c>
      <c r="W33" s="249"/>
    </row>
    <row r="34" spans="2:23" ht="16.5" thickBot="1" x14ac:dyDescent="0.25">
      <c r="B34" s="231"/>
      <c r="C34" s="231"/>
      <c r="D34" s="162"/>
      <c r="E34" s="162"/>
      <c r="F34" s="162"/>
      <c r="G34" s="162"/>
      <c r="H34" s="162"/>
    </row>
    <row r="35" spans="2:23" x14ac:dyDescent="0.2">
      <c r="B35" s="357" t="s">
        <v>286</v>
      </c>
      <c r="C35" s="351"/>
      <c r="D35" s="351"/>
      <c r="E35" s="351"/>
      <c r="F35" s="351"/>
      <c r="G35" s="351"/>
      <c r="H35" s="351"/>
      <c r="I35" s="235"/>
      <c r="J35" s="350" t="s">
        <v>312</v>
      </c>
      <c r="K35" s="350"/>
      <c r="L35" s="350"/>
      <c r="M35" s="236"/>
      <c r="N35" s="350" t="s">
        <v>112</v>
      </c>
      <c r="O35" s="350"/>
      <c r="P35" s="350"/>
      <c r="Q35" s="350"/>
      <c r="R35" s="236"/>
      <c r="S35" s="350" t="s">
        <v>411</v>
      </c>
      <c r="T35" s="350"/>
      <c r="U35" s="350"/>
      <c r="V35" s="350"/>
      <c r="W35" s="356"/>
    </row>
    <row r="36" spans="2:23" x14ac:dyDescent="0.2">
      <c r="B36" s="251" t="s">
        <v>287</v>
      </c>
      <c r="C36" s="231"/>
      <c r="D36" s="162"/>
      <c r="E36" s="162"/>
      <c r="F36" s="162"/>
      <c r="G36" s="162"/>
      <c r="H36" s="162"/>
      <c r="J36" s="237"/>
      <c r="K36" s="237"/>
      <c r="L36" s="237"/>
      <c r="M36" s="237"/>
      <c r="N36" s="237"/>
      <c r="O36" s="237"/>
      <c r="P36" s="237"/>
      <c r="Q36" s="237"/>
      <c r="R36" s="237"/>
      <c r="S36" s="263"/>
      <c r="T36" s="162"/>
      <c r="U36" s="237"/>
      <c r="V36" s="162"/>
      <c r="W36" s="252"/>
    </row>
    <row r="37" spans="2:23" ht="63" x14ac:dyDescent="0.2">
      <c r="B37" s="174" t="s">
        <v>151</v>
      </c>
      <c r="C37" s="269" t="s">
        <v>152</v>
      </c>
      <c r="D37" s="52" t="s">
        <v>153</v>
      </c>
      <c r="E37" s="52" t="s">
        <v>154</v>
      </c>
      <c r="F37" s="52" t="s">
        <v>206</v>
      </c>
      <c r="G37" s="52" t="s">
        <v>223</v>
      </c>
      <c r="H37" s="52" t="s">
        <v>188</v>
      </c>
      <c r="J37" s="52" t="s">
        <v>315</v>
      </c>
      <c r="K37" s="52" t="s">
        <v>313</v>
      </c>
      <c r="L37" s="52" t="s">
        <v>103</v>
      </c>
      <c r="M37" s="237"/>
      <c r="N37" s="170" t="s">
        <v>302</v>
      </c>
      <c r="O37" s="52" t="s">
        <v>104</v>
      </c>
      <c r="P37" s="52" t="s">
        <v>413</v>
      </c>
      <c r="Q37" s="170" t="s">
        <v>103</v>
      </c>
      <c r="R37" s="237"/>
      <c r="S37" s="52" t="s">
        <v>122</v>
      </c>
      <c r="T37" s="52" t="s">
        <v>324</v>
      </c>
      <c r="U37" s="52" t="s">
        <v>104</v>
      </c>
      <c r="V37" s="52" t="s">
        <v>321</v>
      </c>
      <c r="W37" s="171" t="s">
        <v>103</v>
      </c>
    </row>
    <row r="38" spans="2:23" ht="31.5" x14ac:dyDescent="0.2">
      <c r="B38" s="176" t="s">
        <v>204</v>
      </c>
      <c r="C38" s="152" t="s">
        <v>415</v>
      </c>
      <c r="D38" s="80" t="s">
        <v>205</v>
      </c>
      <c r="E38" s="80">
        <v>1</v>
      </c>
      <c r="F38" s="144">
        <f>'שאלון למילוי הגוף-חובה'!$E$13</f>
        <v>0</v>
      </c>
      <c r="G38" s="143">
        <v>750</v>
      </c>
      <c r="H38" s="140">
        <f>G38*F38</f>
        <v>0</v>
      </c>
      <c r="J38" s="238"/>
      <c r="K38" s="239"/>
      <c r="L38" s="240"/>
      <c r="N38" s="238"/>
      <c r="O38" s="241" t="str">
        <f>IFERROR(IF(N38=0,"",IF(OR(N38-F38&gt;0,N38-F38&lt;0), (N38-F38)/F38, "")), "")</f>
        <v/>
      </c>
      <c r="P38" s="292">
        <f t="shared" ref="P38" si="17">N38*G38</f>
        <v>0</v>
      </c>
      <c r="Q38" s="240"/>
      <c r="R38" s="240"/>
      <c r="S38" s="260" t="s">
        <v>126</v>
      </c>
      <c r="T38" s="242">
        <f t="shared" ref="T38" si="18">N38</f>
        <v>0</v>
      </c>
      <c r="U38" s="241" t="str">
        <f t="shared" ref="U38" si="19">IFERROR(IF(T38=0,"",IF(OR(T38-F38&gt;0,T38-F38&lt;0), (T38-F38)/F38, "")), "")</f>
        <v/>
      </c>
      <c r="V38" s="140">
        <f>T38*G38</f>
        <v>0</v>
      </c>
      <c r="W38" s="243"/>
    </row>
    <row r="39" spans="2:23" x14ac:dyDescent="0.2">
      <c r="B39" s="175" t="s">
        <v>28</v>
      </c>
      <c r="C39" s="152" t="s">
        <v>314</v>
      </c>
      <c r="D39" s="80"/>
      <c r="E39" s="80"/>
      <c r="F39" s="141">
        <v>0.05</v>
      </c>
      <c r="G39" s="80"/>
      <c r="H39" s="138">
        <f>SUM(H38:H38)*F39</f>
        <v>0</v>
      </c>
      <c r="J39" s="240"/>
      <c r="K39" s="240"/>
      <c r="L39" s="240"/>
      <c r="N39" s="298"/>
      <c r="O39" s="241"/>
      <c r="P39" s="292"/>
      <c r="Q39" s="240"/>
      <c r="R39" s="240"/>
      <c r="S39" s="262"/>
      <c r="T39" s="250"/>
      <c r="U39" s="240"/>
      <c r="V39" s="140">
        <f>SUM(V38)*F39</f>
        <v>0</v>
      </c>
      <c r="W39" s="243"/>
    </row>
    <row r="40" spans="2:23" x14ac:dyDescent="0.2">
      <c r="B40" s="353" t="s">
        <v>106</v>
      </c>
      <c r="C40" s="354"/>
      <c r="D40" s="354"/>
      <c r="E40" s="354"/>
      <c r="F40" s="354"/>
      <c r="G40" s="355"/>
      <c r="H40" s="253">
        <f>SUM(H38:H39)</f>
        <v>0</v>
      </c>
      <c r="J40" s="240"/>
      <c r="K40" s="240"/>
      <c r="L40" s="240"/>
      <c r="N40" s="240"/>
      <c r="O40" s="240"/>
      <c r="P40" s="294">
        <f>SUM(P38:P39)</f>
        <v>0</v>
      </c>
      <c r="Q40" s="240"/>
      <c r="R40" s="240"/>
      <c r="S40" s="262"/>
      <c r="T40" s="250"/>
      <c r="U40" s="240"/>
      <c r="V40" s="172">
        <f>SUM(V38:V39)</f>
        <v>0</v>
      </c>
      <c r="W40" s="243"/>
    </row>
    <row r="41" spans="2:23" ht="31.5" x14ac:dyDescent="0.2">
      <c r="B41" s="251" t="s">
        <v>288</v>
      </c>
      <c r="C41" s="231"/>
      <c r="D41" s="162"/>
      <c r="E41" s="162"/>
      <c r="F41" s="162"/>
      <c r="G41" s="162"/>
      <c r="H41" s="162"/>
      <c r="W41" s="254"/>
    </row>
    <row r="42" spans="2:23" ht="63" x14ac:dyDescent="0.2">
      <c r="B42" s="174" t="s">
        <v>151</v>
      </c>
      <c r="C42" s="269" t="s">
        <v>152</v>
      </c>
      <c r="D42" s="52" t="s">
        <v>153</v>
      </c>
      <c r="E42" s="52" t="s">
        <v>154</v>
      </c>
      <c r="F42" s="52" t="s">
        <v>206</v>
      </c>
      <c r="G42" s="52" t="s">
        <v>223</v>
      </c>
      <c r="H42" s="52" t="s">
        <v>188</v>
      </c>
      <c r="J42" s="52" t="s">
        <v>315</v>
      </c>
      <c r="K42" s="52" t="s">
        <v>313</v>
      </c>
      <c r="L42" s="52" t="s">
        <v>103</v>
      </c>
      <c r="M42" s="237"/>
      <c r="N42" s="170" t="s">
        <v>302</v>
      </c>
      <c r="O42" s="52" t="s">
        <v>104</v>
      </c>
      <c r="P42" s="52" t="s">
        <v>413</v>
      </c>
      <c r="Q42" s="170" t="s">
        <v>103</v>
      </c>
      <c r="R42" s="237"/>
      <c r="S42" s="170" t="s">
        <v>122</v>
      </c>
      <c r="T42" s="52" t="s">
        <v>324</v>
      </c>
      <c r="U42" s="52" t="s">
        <v>104</v>
      </c>
      <c r="V42" s="173"/>
      <c r="W42" s="171" t="s">
        <v>103</v>
      </c>
    </row>
    <row r="43" spans="2:23" x14ac:dyDescent="0.2">
      <c r="B43" s="176" t="s">
        <v>204</v>
      </c>
      <c r="C43" s="152" t="s">
        <v>207</v>
      </c>
      <c r="D43" s="80" t="s">
        <v>205</v>
      </c>
      <c r="E43" s="80">
        <v>1</v>
      </c>
      <c r="F43" s="144">
        <f>'שאלון למילוי הגוף-חובה'!$E$13</f>
        <v>0</v>
      </c>
      <c r="G43" s="143">
        <v>900</v>
      </c>
      <c r="H43" s="140">
        <f>G43*F43</f>
        <v>0</v>
      </c>
      <c r="J43" s="238"/>
      <c r="K43" s="239"/>
      <c r="L43" s="240"/>
      <c r="N43" s="238"/>
      <c r="O43" s="241" t="str">
        <f>IFERROR(IF(N43=0,"",IF(OR(N43-F43&gt;0,N43-F43&lt;0), (N43-F43)/F43, "")), "")</f>
        <v/>
      </c>
      <c r="P43" s="292">
        <f t="shared" ref="P43" si="20">N43*G43</f>
        <v>0</v>
      </c>
      <c r="Q43" s="240"/>
      <c r="R43" s="240"/>
      <c r="S43" s="260" t="s">
        <v>126</v>
      </c>
      <c r="T43" s="242">
        <f t="shared" ref="T43:T44" si="21">N43</f>
        <v>0</v>
      </c>
      <c r="U43" s="241" t="str">
        <f t="shared" ref="U43:U44" si="22">IFERROR(IF(T43=0,"",IF(OR(T43-F43&gt;0,T43-F43&lt;0), (T43-F43)/F43, "")), "")</f>
        <v/>
      </c>
      <c r="V43" s="135">
        <f>T43*G43</f>
        <v>0</v>
      </c>
      <c r="W43" s="243"/>
    </row>
    <row r="44" spans="2:23" x14ac:dyDescent="0.2">
      <c r="B44" s="175" t="s">
        <v>28</v>
      </c>
      <c r="C44" s="152" t="s">
        <v>314</v>
      </c>
      <c r="D44" s="80"/>
      <c r="E44" s="80"/>
      <c r="F44" s="141">
        <v>0.05</v>
      </c>
      <c r="G44" s="80"/>
      <c r="H44" s="138">
        <f>SUM(H43:H43)*F44</f>
        <v>0</v>
      </c>
      <c r="J44" s="238"/>
      <c r="K44" s="239"/>
      <c r="L44" s="240"/>
      <c r="N44" s="298"/>
      <c r="O44" s="299"/>
      <c r="P44" s="292"/>
      <c r="Q44" s="240"/>
      <c r="R44" s="240"/>
      <c r="S44" s="262"/>
      <c r="T44" s="242">
        <f t="shared" si="21"/>
        <v>0</v>
      </c>
      <c r="U44" s="241" t="str">
        <f t="shared" si="22"/>
        <v/>
      </c>
      <c r="V44" s="135">
        <f>SUM(V43)*F44</f>
        <v>0</v>
      </c>
      <c r="W44" s="243"/>
    </row>
    <row r="45" spans="2:23" ht="16.5" thickBot="1" x14ac:dyDescent="0.25">
      <c r="B45" s="347" t="s">
        <v>106</v>
      </c>
      <c r="C45" s="348"/>
      <c r="D45" s="348"/>
      <c r="E45" s="348"/>
      <c r="F45" s="348"/>
      <c r="G45" s="349"/>
      <c r="H45" s="139">
        <f>SUM(H43:H44)</f>
        <v>0</v>
      </c>
      <c r="I45" s="245"/>
      <c r="J45" s="246"/>
      <c r="K45" s="246"/>
      <c r="L45" s="246"/>
      <c r="M45" s="245"/>
      <c r="N45" s="246"/>
      <c r="O45" s="246"/>
      <c r="P45" s="293">
        <f>SUM(P43:P44)</f>
        <v>0</v>
      </c>
      <c r="Q45" s="246"/>
      <c r="R45" s="246"/>
      <c r="S45" s="261"/>
      <c r="T45" s="247"/>
      <c r="U45" s="248"/>
      <c r="V45" s="137">
        <f>SUM(V43:V44)</f>
        <v>0</v>
      </c>
      <c r="W45" s="249"/>
    </row>
  </sheetData>
  <sheetProtection algorithmName="SHA-512" hashValue="uJqH+XuTPNORhr3LobtfQ+eAiJCWSMRr64MQjsGXuphKFB0npvD7rXgZ/X+uHolw9Ij8VhRQ26ip86QNFD9x5w==" saltValue="J7E9P5l2KOJ8rxYioahCCw==" spinCount="100000" sheet="1" formatCells="0" formatColumns="0" formatRows="0"/>
  <mergeCells count="23">
    <mergeCell ref="B45:G45"/>
    <mergeCell ref="B5:H5"/>
    <mergeCell ref="B19:H19"/>
    <mergeCell ref="B35:H35"/>
    <mergeCell ref="N35:Q35"/>
    <mergeCell ref="N19:Q19"/>
    <mergeCell ref="B25:H25"/>
    <mergeCell ref="N25:Q25"/>
    <mergeCell ref="J5:L5"/>
    <mergeCell ref="N5:Q5"/>
    <mergeCell ref="J25:L25"/>
    <mergeCell ref="B27:B30"/>
    <mergeCell ref="B16:G16"/>
    <mergeCell ref="B23:G23"/>
    <mergeCell ref="J19:L19"/>
    <mergeCell ref="B7:B9"/>
    <mergeCell ref="B33:G33"/>
    <mergeCell ref="J35:L35"/>
    <mergeCell ref="S5:W5"/>
    <mergeCell ref="B40:G40"/>
    <mergeCell ref="S35:W35"/>
    <mergeCell ref="S19:W19"/>
    <mergeCell ref="S25:W25"/>
  </mergeCells>
  <conditionalFormatting sqref="U15 O7:P7 U29:U32 O8:O9 P8:P15 O27:O32">
    <cfRule type="cellIs" dxfId="91" priority="53" operator="lessThan">
      <formula>0</formula>
    </cfRule>
    <cfRule type="cellIs" dxfId="90" priority="54" operator="greaterThan">
      <formula>0.01</formula>
    </cfRule>
  </conditionalFormatting>
  <conditionalFormatting sqref="O10:O14">
    <cfRule type="cellIs" dxfId="89" priority="51" operator="lessThan">
      <formula>0</formula>
    </cfRule>
    <cfRule type="cellIs" dxfId="88" priority="52" operator="greaterThan">
      <formula>0.01</formula>
    </cfRule>
  </conditionalFormatting>
  <conditionalFormatting sqref="O21:O22">
    <cfRule type="cellIs" dxfId="87" priority="49" operator="lessThan">
      <formula>0</formula>
    </cfRule>
    <cfRule type="cellIs" dxfId="86" priority="50" operator="greaterThan">
      <formula>0.01</formula>
    </cfRule>
  </conditionalFormatting>
  <conditionalFormatting sqref="O39:P39 O38">
    <cfRule type="cellIs" dxfId="85" priority="45" operator="lessThan">
      <formula>0</formula>
    </cfRule>
    <cfRule type="cellIs" dxfId="84" priority="46" operator="greaterThan">
      <formula>0.01</formula>
    </cfRule>
  </conditionalFormatting>
  <conditionalFormatting sqref="O44:P44 O43">
    <cfRule type="cellIs" dxfId="83" priority="43" operator="lessThan">
      <formula>0</formula>
    </cfRule>
    <cfRule type="cellIs" dxfId="82" priority="44" operator="greaterThan">
      <formula>0.01</formula>
    </cfRule>
  </conditionalFormatting>
  <conditionalFormatting sqref="U7">
    <cfRule type="cellIs" dxfId="81" priority="41" operator="lessThan">
      <formula>0</formula>
    </cfRule>
    <cfRule type="cellIs" dxfId="80" priority="42" operator="greaterThan">
      <formula>0.01</formula>
    </cfRule>
  </conditionalFormatting>
  <conditionalFormatting sqref="U10:U14">
    <cfRule type="cellIs" dxfId="79" priority="39" operator="lessThan">
      <formula>0</formula>
    </cfRule>
    <cfRule type="cellIs" dxfId="78" priority="40" operator="greaterThan">
      <formula>0.01</formula>
    </cfRule>
  </conditionalFormatting>
  <conditionalFormatting sqref="U21:U22">
    <cfRule type="cellIs" dxfId="77" priority="37" operator="lessThan">
      <formula>0</formula>
    </cfRule>
    <cfRule type="cellIs" dxfId="76" priority="38" operator="greaterThan">
      <formula>0.01</formula>
    </cfRule>
  </conditionalFormatting>
  <conditionalFormatting sqref="U27">
    <cfRule type="cellIs" dxfId="75" priority="35" operator="lessThan">
      <formula>0</formula>
    </cfRule>
    <cfRule type="cellIs" dxfId="74" priority="36" operator="greaterThan">
      <formula>0.01</formula>
    </cfRule>
  </conditionalFormatting>
  <conditionalFormatting sqref="U38">
    <cfRule type="cellIs" dxfId="73" priority="33" operator="lessThan">
      <formula>0</formula>
    </cfRule>
    <cfRule type="cellIs" dxfId="72" priority="34" operator="greaterThan">
      <formula>0.01</formula>
    </cfRule>
  </conditionalFormatting>
  <conditionalFormatting sqref="U43:V43 U44">
    <cfRule type="cellIs" dxfId="71" priority="31" operator="lessThan">
      <formula>0</formula>
    </cfRule>
    <cfRule type="cellIs" dxfId="70" priority="32" operator="greaterThan">
      <formula>0.01</formula>
    </cfRule>
  </conditionalFormatting>
  <conditionalFormatting sqref="U8">
    <cfRule type="cellIs" dxfId="69" priority="17" operator="lessThan">
      <formula>0</formula>
    </cfRule>
    <cfRule type="cellIs" dxfId="68" priority="18" operator="greaterThan">
      <formula>0.01</formula>
    </cfRule>
  </conditionalFormatting>
  <conditionalFormatting sqref="U9">
    <cfRule type="cellIs" dxfId="67" priority="15" operator="lessThan">
      <formula>0</formula>
    </cfRule>
    <cfRule type="cellIs" dxfId="66" priority="16" operator="greaterThan">
      <formula>0.01</formula>
    </cfRule>
  </conditionalFormatting>
  <conditionalFormatting sqref="U28">
    <cfRule type="cellIs" dxfId="65" priority="11" operator="lessThan">
      <formula>0</formula>
    </cfRule>
    <cfRule type="cellIs" dxfId="64" priority="12" operator="greaterThan">
      <formula>0.01</formula>
    </cfRule>
  </conditionalFormatting>
  <conditionalFormatting sqref="P21:P22">
    <cfRule type="cellIs" dxfId="63" priority="9" operator="lessThan">
      <formula>0</formula>
    </cfRule>
    <cfRule type="cellIs" dxfId="62" priority="10" operator="greaterThan">
      <formula>0.01</formula>
    </cfRule>
  </conditionalFormatting>
  <conditionalFormatting sqref="P27:P32">
    <cfRule type="cellIs" dxfId="61" priority="5" operator="lessThan">
      <formula>0</formula>
    </cfRule>
    <cfRule type="cellIs" dxfId="60" priority="6" operator="greaterThan">
      <formula>0.01</formula>
    </cfRule>
  </conditionalFormatting>
  <conditionalFormatting sqref="P38">
    <cfRule type="cellIs" dxfId="59" priority="3" operator="lessThan">
      <formula>0</formula>
    </cfRule>
    <cfRule type="cellIs" dxfId="58" priority="4" operator="greaterThan">
      <formula>0.01</formula>
    </cfRule>
  </conditionalFormatting>
  <conditionalFormatting sqref="P43">
    <cfRule type="cellIs" dxfId="57" priority="1" operator="lessThan">
      <formula>0</formula>
    </cfRule>
    <cfRule type="cellIs" dxfId="56" priority="2" operator="greaterThan">
      <formula>0.01</formula>
    </cfRule>
  </conditionalFormatting>
  <dataValidations count="2">
    <dataValidation type="list" allowBlank="1" showInputMessage="1" showErrorMessage="1" sqref="S21 S7:S15 S38 S43 S27:S32">
      <formula1>"מאשר, מאשר חלקי, לא מאשר"</formula1>
    </dataValidation>
    <dataValidation type="list" allowBlank="1" showInputMessage="1" showErrorMessage="1" sqref="K43:K44 K21 K38 K7:K15 K27:K32">
      <formula1>"שמיש-אך נדרש עוד, בלוי-נדרש להחליף"</formula1>
    </dataValidation>
  </dataValidations>
  <pageMargins left="0.7" right="0.7" top="0.75" bottom="0.75" header="0.3" footer="0.3"/>
  <pageSetup paperSize="9" scale="29" orientation="landscape" horizontalDpi="4294967293" verticalDpi="4294967293" r:id="rId1"/>
  <ignoredErrors>
    <ignoredError sqref="T7:T14 S21:W32 T38:T45 P2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0"/>
  <sheetViews>
    <sheetView rightToLeft="1" topLeftCell="A37" zoomScale="75" zoomScaleNormal="75" workbookViewId="0">
      <selection activeCell="T64" sqref="T64"/>
    </sheetView>
  </sheetViews>
  <sheetFormatPr defaultRowHeight="15.75" x14ac:dyDescent="0.2"/>
  <cols>
    <col min="1" max="1" width="6.625" style="208" customWidth="1"/>
    <col min="2" max="2" width="20.625" style="209" customWidth="1"/>
    <col min="3" max="3" width="40.625" style="222" customWidth="1"/>
    <col min="4" max="4" width="9.25" style="177" customWidth="1"/>
    <col min="5" max="5" width="7.5" style="177" customWidth="1"/>
    <col min="6" max="6" width="15.875" style="177" customWidth="1"/>
    <col min="7" max="7" width="12.625" style="177" customWidth="1"/>
    <col min="8" max="8" width="4.75" style="208" customWidth="1"/>
    <col min="9" max="9" width="7.625" style="208" customWidth="1"/>
    <col min="10" max="10" width="20.875" style="208" customWidth="1"/>
    <col min="11" max="11" width="20.625" style="208" customWidth="1"/>
    <col min="12" max="12" width="4.75" style="208" customWidth="1"/>
    <col min="13" max="14" width="7.625" style="208" customWidth="1"/>
    <col min="15" max="15" width="12.625" style="177" customWidth="1"/>
    <col min="16" max="16" width="20.625" style="208" customWidth="1"/>
    <col min="17" max="17" width="5" style="208" customWidth="1"/>
    <col min="18" max="18" width="8" style="208" customWidth="1"/>
    <col min="19" max="20" width="7.625" style="208" customWidth="1"/>
    <col min="21" max="21" width="12.625" style="177" customWidth="1"/>
    <col min="22" max="22" width="20.625" style="208" customWidth="1"/>
    <col min="23" max="23" width="5" style="208" customWidth="1"/>
    <col min="24" max="16384" width="9" style="208"/>
  </cols>
  <sheetData>
    <row r="2" spans="2:22" ht="20.25" x14ac:dyDescent="0.2">
      <c r="B2" s="205" t="s">
        <v>389</v>
      </c>
      <c r="C2" s="206"/>
      <c r="E2" s="198" t="s">
        <v>303</v>
      </c>
      <c r="F2" s="178"/>
      <c r="G2" s="178"/>
      <c r="H2" s="207"/>
      <c r="I2" s="207"/>
    </row>
    <row r="3" spans="2:22" x14ac:dyDescent="0.2">
      <c r="C3" s="210" t="s">
        <v>293</v>
      </c>
    </row>
    <row r="4" spans="2:22" ht="16.5" thickBot="1" x14ac:dyDescent="0.25">
      <c r="C4" s="210"/>
    </row>
    <row r="5" spans="2:22" x14ac:dyDescent="0.2">
      <c r="B5" s="367" t="s">
        <v>282</v>
      </c>
      <c r="C5" s="368"/>
      <c r="D5" s="368"/>
      <c r="E5" s="368"/>
      <c r="F5" s="368"/>
      <c r="G5" s="368"/>
      <c r="H5" s="211"/>
      <c r="I5" s="378" t="s">
        <v>312</v>
      </c>
      <c r="J5" s="378"/>
      <c r="K5" s="378"/>
      <c r="L5" s="211"/>
      <c r="M5" s="378" t="s">
        <v>112</v>
      </c>
      <c r="N5" s="378"/>
      <c r="O5" s="378"/>
      <c r="P5" s="378"/>
      <c r="Q5" s="211"/>
      <c r="R5" s="378" t="s">
        <v>411</v>
      </c>
      <c r="S5" s="378"/>
      <c r="T5" s="378"/>
      <c r="U5" s="378"/>
      <c r="V5" s="379"/>
    </row>
    <row r="6" spans="2:22" ht="47.25" x14ac:dyDescent="0.2">
      <c r="B6" s="199" t="s">
        <v>151</v>
      </c>
      <c r="C6" s="195" t="s">
        <v>152</v>
      </c>
      <c r="D6" s="179" t="s">
        <v>153</v>
      </c>
      <c r="E6" s="179" t="s">
        <v>150</v>
      </c>
      <c r="F6" s="179" t="s">
        <v>223</v>
      </c>
      <c r="G6" s="179" t="s">
        <v>188</v>
      </c>
      <c r="I6" s="180" t="s">
        <v>311</v>
      </c>
      <c r="J6" s="180" t="s">
        <v>313</v>
      </c>
      <c r="K6" s="180" t="s">
        <v>103</v>
      </c>
      <c r="M6" s="180" t="s">
        <v>102</v>
      </c>
      <c r="N6" s="180" t="s">
        <v>104</v>
      </c>
      <c r="O6" s="181" t="s">
        <v>413</v>
      </c>
      <c r="P6" s="180" t="s">
        <v>103</v>
      </c>
      <c r="R6" s="180" t="s">
        <v>122</v>
      </c>
      <c r="S6" s="180" t="s">
        <v>113</v>
      </c>
      <c r="T6" s="180" t="s">
        <v>104</v>
      </c>
      <c r="U6" s="181" t="s">
        <v>321</v>
      </c>
      <c r="V6" s="182" t="s">
        <v>103</v>
      </c>
    </row>
    <row r="7" spans="2:22" x14ac:dyDescent="0.2">
      <c r="B7" s="369" t="s">
        <v>166</v>
      </c>
      <c r="C7" s="196" t="s">
        <v>390</v>
      </c>
      <c r="D7" s="183" t="s">
        <v>164</v>
      </c>
      <c r="E7" s="184">
        <v>1</v>
      </c>
      <c r="F7" s="185">
        <v>128000</v>
      </c>
      <c r="G7" s="186">
        <f>F7*E7</f>
        <v>128000</v>
      </c>
      <c r="I7" s="212"/>
      <c r="J7" s="213"/>
      <c r="K7" s="214"/>
      <c r="M7" s="212"/>
      <c r="N7" s="215" t="str">
        <f>IFERROR(IF(M7=0,"",IF(OR(M7-E7&gt;0,M7-E7&lt;0), (M7-E7)/E7, "")), "")</f>
        <v/>
      </c>
      <c r="O7" s="187">
        <f>M7*F7</f>
        <v>0</v>
      </c>
      <c r="P7" s="214"/>
      <c r="R7" s="216" t="s">
        <v>126</v>
      </c>
      <c r="S7" s="217">
        <f>M7</f>
        <v>0</v>
      </c>
      <c r="T7" s="215" t="str">
        <f>IFERROR(IF(S7=0,"",IF(OR(S7-E7&gt;0,S7-E7&lt;0), (S7-E7)/E7, "")), "")</f>
        <v/>
      </c>
      <c r="U7" s="187">
        <f>S7*F7</f>
        <v>0</v>
      </c>
      <c r="V7" s="218"/>
    </row>
    <row r="8" spans="2:22" ht="31.5" x14ac:dyDescent="0.2">
      <c r="B8" s="370"/>
      <c r="C8" s="197" t="s">
        <v>401</v>
      </c>
      <c r="D8" s="183" t="s">
        <v>164</v>
      </c>
      <c r="E8" s="184">
        <v>2</v>
      </c>
      <c r="F8" s="185">
        <v>1350</v>
      </c>
      <c r="G8" s="186">
        <f>F8*E8</f>
        <v>2700</v>
      </c>
      <c r="I8" s="212"/>
      <c r="J8" s="213"/>
      <c r="K8" s="214"/>
      <c r="M8" s="212"/>
      <c r="N8" s="215" t="str">
        <f>IFERROR(IF(M8=0,"",IF(OR(M8-E8&gt;0,M8-E8&lt;0), (M8-E8)/E8, "")), "")</f>
        <v/>
      </c>
      <c r="O8" s="187">
        <f t="shared" ref="O8:O11" si="0">M8*F8</f>
        <v>0</v>
      </c>
      <c r="P8" s="214"/>
      <c r="R8" s="216" t="s">
        <v>126</v>
      </c>
      <c r="S8" s="217">
        <f t="shared" ref="S8:S11" si="1">M8</f>
        <v>0</v>
      </c>
      <c r="T8" s="215" t="str">
        <f>IFERROR(IF(S8=0,"",IF(OR(S8-E8&gt;0,S8-E8&lt;0), (S8-E8)/E8, "")), "")</f>
        <v/>
      </c>
      <c r="U8" s="187">
        <f t="shared" ref="U8:U11" si="2">S8*F8</f>
        <v>0</v>
      </c>
      <c r="V8" s="218"/>
    </row>
    <row r="9" spans="2:22" ht="47.25" x14ac:dyDescent="0.2">
      <c r="B9" s="370"/>
      <c r="C9" s="197" t="s">
        <v>402</v>
      </c>
      <c r="D9" s="183" t="s">
        <v>164</v>
      </c>
      <c r="E9" s="184">
        <v>1</v>
      </c>
      <c r="F9" s="185">
        <v>27400</v>
      </c>
      <c r="G9" s="186">
        <f>F9*E9</f>
        <v>27400</v>
      </c>
      <c r="I9" s="212"/>
      <c r="J9" s="213"/>
      <c r="K9" s="214"/>
      <c r="M9" s="212"/>
      <c r="N9" s="215" t="str">
        <f>IFERROR(IF(M9=0,"",IF(OR(M9-E9&gt;0,M9-E9&lt;0), (M9-E9)/E9, "")), "")</f>
        <v/>
      </c>
      <c r="O9" s="187">
        <f t="shared" si="0"/>
        <v>0</v>
      </c>
      <c r="P9" s="214"/>
      <c r="R9" s="216" t="s">
        <v>126</v>
      </c>
      <c r="S9" s="217">
        <f t="shared" si="1"/>
        <v>0</v>
      </c>
      <c r="T9" s="215" t="str">
        <f>IFERROR(IF(S9=0,"",IF(OR(S9-E9&gt;0,S9-E9&lt;0), (S9-E9)/E9, "")), "")</f>
        <v/>
      </c>
      <c r="U9" s="187">
        <f t="shared" si="2"/>
        <v>0</v>
      </c>
      <c r="V9" s="218"/>
    </row>
    <row r="10" spans="2:22" ht="31.5" x14ac:dyDescent="0.2">
      <c r="B10" s="370"/>
      <c r="C10" s="197" t="s">
        <v>403</v>
      </c>
      <c r="D10" s="183" t="s">
        <v>164</v>
      </c>
      <c r="E10" s="184">
        <v>2</v>
      </c>
      <c r="F10" s="185">
        <v>860</v>
      </c>
      <c r="G10" s="186">
        <f>F10*E10</f>
        <v>1720</v>
      </c>
      <c r="I10" s="212"/>
      <c r="J10" s="213"/>
      <c r="K10" s="214"/>
      <c r="M10" s="212"/>
      <c r="N10" s="215" t="str">
        <f>IFERROR(IF(M10=0,"",IF(OR(M10-E10&gt;0,M10-E10&lt;0), (M10-E10)/E10, "")), "")</f>
        <v/>
      </c>
      <c r="O10" s="187">
        <f t="shared" si="0"/>
        <v>0</v>
      </c>
      <c r="P10" s="214"/>
      <c r="R10" s="216" t="s">
        <v>126</v>
      </c>
      <c r="S10" s="217">
        <f t="shared" si="1"/>
        <v>0</v>
      </c>
      <c r="T10" s="215" t="str">
        <f>IFERROR(IF(S10=0,"",IF(OR(S10-E10&gt;0,S10-E10&lt;0), (S10-E10)/E10, "")), "")</f>
        <v/>
      </c>
      <c r="U10" s="187">
        <f t="shared" si="2"/>
        <v>0</v>
      </c>
      <c r="V10" s="218"/>
    </row>
    <row r="11" spans="2:22" x14ac:dyDescent="0.2">
      <c r="B11" s="377"/>
      <c r="C11" s="197" t="s">
        <v>167</v>
      </c>
      <c r="D11" s="183" t="s">
        <v>164</v>
      </c>
      <c r="E11" s="184">
        <v>5</v>
      </c>
      <c r="F11" s="186">
        <v>468</v>
      </c>
      <c r="G11" s="186">
        <f>F11*E11</f>
        <v>2340</v>
      </c>
      <c r="I11" s="212"/>
      <c r="J11" s="213"/>
      <c r="K11" s="214"/>
      <c r="M11" s="212"/>
      <c r="N11" s="215" t="str">
        <f>IFERROR(IF(M11=0,"",IF(OR(M11-E11&gt;0,M11-E11&lt;0), (M11-E11)/E11, "")), "")</f>
        <v/>
      </c>
      <c r="O11" s="187">
        <f t="shared" si="0"/>
        <v>0</v>
      </c>
      <c r="P11" s="214"/>
      <c r="R11" s="216" t="s">
        <v>126</v>
      </c>
      <c r="S11" s="217">
        <f t="shared" si="1"/>
        <v>0</v>
      </c>
      <c r="T11" s="215" t="str">
        <f>IFERROR(IF(S11=0,"",IF(OR(S11-E11&gt;0,S11-E11&lt;0), (S11-E11)/E11, "")), "")</f>
        <v/>
      </c>
      <c r="U11" s="187">
        <f t="shared" si="2"/>
        <v>0</v>
      </c>
      <c r="V11" s="218"/>
    </row>
    <row r="12" spans="2:22" x14ac:dyDescent="0.2">
      <c r="B12" s="200" t="s">
        <v>28</v>
      </c>
      <c r="C12" s="197" t="s">
        <v>314</v>
      </c>
      <c r="D12" s="183"/>
      <c r="E12" s="189">
        <v>0.05</v>
      </c>
      <c r="F12" s="183"/>
      <c r="G12" s="190">
        <f>SUM(G7:G11)*E12</f>
        <v>8108</v>
      </c>
      <c r="I12" s="214"/>
      <c r="J12" s="214"/>
      <c r="K12" s="214"/>
      <c r="M12" s="214"/>
      <c r="N12" s="214"/>
      <c r="O12" s="187"/>
      <c r="P12" s="214"/>
      <c r="R12" s="214"/>
      <c r="S12" s="214"/>
      <c r="T12" s="214"/>
      <c r="U12" s="187">
        <f>SUM(U7:U11)*E12</f>
        <v>0</v>
      </c>
      <c r="V12" s="218"/>
    </row>
    <row r="13" spans="2:22" ht="16.5" thickBot="1" x14ac:dyDescent="0.25">
      <c r="B13" s="364" t="s">
        <v>106</v>
      </c>
      <c r="C13" s="365"/>
      <c r="D13" s="365"/>
      <c r="E13" s="365"/>
      <c r="F13" s="366"/>
      <c r="G13" s="191">
        <f>SUM(G7:G12)</f>
        <v>170268</v>
      </c>
      <c r="H13" s="219"/>
      <c r="I13" s="220"/>
      <c r="J13" s="220"/>
      <c r="K13" s="220"/>
      <c r="L13" s="219"/>
      <c r="M13" s="220"/>
      <c r="N13" s="220"/>
      <c r="O13" s="136">
        <f>SUM(O7:O12)</f>
        <v>0</v>
      </c>
      <c r="P13" s="220"/>
      <c r="Q13" s="219"/>
      <c r="R13" s="220"/>
      <c r="S13" s="220"/>
      <c r="T13" s="220"/>
      <c r="U13" s="136">
        <f>SUM(U7:U12)</f>
        <v>0</v>
      </c>
      <c r="V13" s="221"/>
    </row>
    <row r="14" spans="2:22" ht="16.5" thickBot="1" x14ac:dyDescent="0.25"/>
    <row r="15" spans="2:22" x14ac:dyDescent="0.2">
      <c r="B15" s="367" t="s">
        <v>289</v>
      </c>
      <c r="C15" s="368"/>
      <c r="D15" s="368"/>
      <c r="E15" s="368"/>
      <c r="F15" s="368"/>
      <c r="G15" s="368"/>
      <c r="H15" s="211"/>
      <c r="I15" s="378" t="s">
        <v>312</v>
      </c>
      <c r="J15" s="378"/>
      <c r="K15" s="378"/>
      <c r="L15" s="211"/>
      <c r="M15" s="378" t="s">
        <v>112</v>
      </c>
      <c r="N15" s="378"/>
      <c r="O15" s="378"/>
      <c r="P15" s="378"/>
      <c r="Q15" s="211"/>
      <c r="R15" s="378" t="s">
        <v>411</v>
      </c>
      <c r="S15" s="378"/>
      <c r="T15" s="378"/>
      <c r="U15" s="378"/>
      <c r="V15" s="379"/>
    </row>
    <row r="16" spans="2:22" ht="47.25" x14ac:dyDescent="0.2">
      <c r="B16" s="199" t="s">
        <v>151</v>
      </c>
      <c r="C16" s="195" t="s">
        <v>152</v>
      </c>
      <c r="D16" s="179" t="s">
        <v>153</v>
      </c>
      <c r="E16" s="179" t="s">
        <v>150</v>
      </c>
      <c r="F16" s="179" t="s">
        <v>223</v>
      </c>
      <c r="G16" s="179" t="s">
        <v>188</v>
      </c>
      <c r="I16" s="180" t="s">
        <v>311</v>
      </c>
      <c r="J16" s="180" t="s">
        <v>313</v>
      </c>
      <c r="K16" s="180" t="s">
        <v>103</v>
      </c>
      <c r="M16" s="180" t="s">
        <v>102</v>
      </c>
      <c r="N16" s="180" t="s">
        <v>104</v>
      </c>
      <c r="O16" s="181" t="s">
        <v>413</v>
      </c>
      <c r="P16" s="180" t="s">
        <v>103</v>
      </c>
      <c r="R16" s="180" t="s">
        <v>122</v>
      </c>
      <c r="S16" s="180" t="s">
        <v>113</v>
      </c>
      <c r="T16" s="180" t="s">
        <v>104</v>
      </c>
      <c r="U16" s="181" t="s">
        <v>321</v>
      </c>
      <c r="V16" s="182" t="s">
        <v>103</v>
      </c>
    </row>
    <row r="17" spans="2:22" x14ac:dyDescent="0.2">
      <c r="B17" s="369" t="s">
        <v>174</v>
      </c>
      <c r="C17" s="197" t="s">
        <v>406</v>
      </c>
      <c r="D17" s="183" t="s">
        <v>164</v>
      </c>
      <c r="E17" s="184">
        <v>3</v>
      </c>
      <c r="F17" s="185">
        <v>600</v>
      </c>
      <c r="G17" s="186">
        <f>F17*E17</f>
        <v>1800</v>
      </c>
      <c r="I17" s="212"/>
      <c r="J17" s="213"/>
      <c r="K17" s="214"/>
      <c r="M17" s="212"/>
      <c r="N17" s="215" t="str">
        <f t="shared" ref="N17:N23" si="3">IFERROR(IF(M17=0,"",IF(OR(M17-E17&gt;0,M17-E17&lt;0), (M17-E17)/E17, "")), "")</f>
        <v/>
      </c>
      <c r="O17" s="187">
        <f t="shared" ref="O17:O22" si="4">M17*F17</f>
        <v>0</v>
      </c>
      <c r="P17" s="214"/>
      <c r="R17" s="216" t="s">
        <v>126</v>
      </c>
      <c r="S17" s="217">
        <f t="shared" ref="S17:S22" si="5">M17</f>
        <v>0</v>
      </c>
      <c r="T17" s="215" t="str">
        <f t="shared" ref="T17:T22" si="6">IFERROR(IF(S17=0,"",IF(OR(S17-E17&gt;0,S17-E17&lt;0), (S17-E17)/E17, "")), "")</f>
        <v/>
      </c>
      <c r="U17" s="187">
        <f>S17*F17</f>
        <v>0</v>
      </c>
      <c r="V17" s="218"/>
    </row>
    <row r="18" spans="2:22" x14ac:dyDescent="0.2">
      <c r="B18" s="370"/>
      <c r="C18" s="197" t="s">
        <v>175</v>
      </c>
      <c r="D18" s="183" t="s">
        <v>164</v>
      </c>
      <c r="E18" s="184">
        <v>2</v>
      </c>
      <c r="F18" s="185">
        <v>1497.6</v>
      </c>
      <c r="G18" s="186">
        <f t="shared" ref="G18:G22" si="7">F18*E18</f>
        <v>2995.2</v>
      </c>
      <c r="I18" s="212"/>
      <c r="J18" s="213"/>
      <c r="K18" s="214"/>
      <c r="M18" s="212"/>
      <c r="N18" s="215" t="str">
        <f t="shared" si="3"/>
        <v/>
      </c>
      <c r="O18" s="187">
        <f t="shared" si="4"/>
        <v>0</v>
      </c>
      <c r="P18" s="214"/>
      <c r="R18" s="216" t="s">
        <v>126</v>
      </c>
      <c r="S18" s="217">
        <f t="shared" si="5"/>
        <v>0</v>
      </c>
      <c r="T18" s="215" t="str">
        <f t="shared" si="6"/>
        <v/>
      </c>
      <c r="U18" s="187">
        <f t="shared" ref="U18:U22" si="8">S18*F18</f>
        <v>0</v>
      </c>
      <c r="V18" s="218"/>
    </row>
    <row r="19" spans="2:22" x14ac:dyDescent="0.2">
      <c r="B19" s="370"/>
      <c r="C19" s="197" t="s">
        <v>176</v>
      </c>
      <c r="D19" s="183" t="s">
        <v>164</v>
      </c>
      <c r="E19" s="184">
        <v>2</v>
      </c>
      <c r="F19" s="185">
        <v>1497.6</v>
      </c>
      <c r="G19" s="186">
        <f>F19*E19</f>
        <v>2995.2</v>
      </c>
      <c r="I19" s="212"/>
      <c r="J19" s="213"/>
      <c r="K19" s="214"/>
      <c r="M19" s="212"/>
      <c r="N19" s="215" t="str">
        <f t="shared" si="3"/>
        <v/>
      </c>
      <c r="O19" s="187">
        <f t="shared" si="4"/>
        <v>0</v>
      </c>
      <c r="P19" s="214"/>
      <c r="R19" s="216" t="s">
        <v>126</v>
      </c>
      <c r="S19" s="217">
        <f t="shared" si="5"/>
        <v>0</v>
      </c>
      <c r="T19" s="215" t="str">
        <f t="shared" si="6"/>
        <v/>
      </c>
      <c r="U19" s="187">
        <f t="shared" si="8"/>
        <v>0</v>
      </c>
      <c r="V19" s="218"/>
    </row>
    <row r="20" spans="2:22" x14ac:dyDescent="0.2">
      <c r="B20" s="370"/>
      <c r="C20" s="197" t="s">
        <v>177</v>
      </c>
      <c r="D20" s="183" t="s">
        <v>164</v>
      </c>
      <c r="E20" s="184">
        <v>2</v>
      </c>
      <c r="F20" s="185">
        <v>16600</v>
      </c>
      <c r="G20" s="186">
        <f>F20*E20</f>
        <v>33200</v>
      </c>
      <c r="I20" s="212"/>
      <c r="J20" s="213"/>
      <c r="K20" s="214"/>
      <c r="M20" s="212"/>
      <c r="N20" s="215" t="str">
        <f t="shared" si="3"/>
        <v/>
      </c>
      <c r="O20" s="187">
        <f t="shared" si="4"/>
        <v>0</v>
      </c>
      <c r="P20" s="214"/>
      <c r="R20" s="216" t="s">
        <v>126</v>
      </c>
      <c r="S20" s="217">
        <f t="shared" si="5"/>
        <v>0</v>
      </c>
      <c r="T20" s="215" t="str">
        <f t="shared" si="6"/>
        <v/>
      </c>
      <c r="U20" s="187">
        <f t="shared" si="8"/>
        <v>0</v>
      </c>
      <c r="V20" s="218"/>
    </row>
    <row r="21" spans="2:22" x14ac:dyDescent="0.2">
      <c r="B21" s="370"/>
      <c r="C21" s="197" t="s">
        <v>178</v>
      </c>
      <c r="D21" s="183" t="s">
        <v>164</v>
      </c>
      <c r="E21" s="184">
        <v>3</v>
      </c>
      <c r="F21" s="185">
        <v>1053</v>
      </c>
      <c r="G21" s="186">
        <f t="shared" si="7"/>
        <v>3159</v>
      </c>
      <c r="I21" s="212"/>
      <c r="J21" s="213"/>
      <c r="K21" s="214"/>
      <c r="M21" s="212"/>
      <c r="N21" s="215" t="str">
        <f t="shared" si="3"/>
        <v/>
      </c>
      <c r="O21" s="187">
        <f t="shared" si="4"/>
        <v>0</v>
      </c>
      <c r="P21" s="214"/>
      <c r="R21" s="216" t="s">
        <v>126</v>
      </c>
      <c r="S21" s="217">
        <f t="shared" si="5"/>
        <v>0</v>
      </c>
      <c r="T21" s="215" t="str">
        <f t="shared" si="6"/>
        <v/>
      </c>
      <c r="U21" s="187">
        <f t="shared" si="8"/>
        <v>0</v>
      </c>
      <c r="V21" s="218"/>
    </row>
    <row r="22" spans="2:22" x14ac:dyDescent="0.2">
      <c r="B22" s="377"/>
      <c r="C22" s="197" t="s">
        <v>179</v>
      </c>
      <c r="D22" s="183" t="s">
        <v>164</v>
      </c>
      <c r="E22" s="184">
        <v>1</v>
      </c>
      <c r="F22" s="185">
        <v>17901</v>
      </c>
      <c r="G22" s="186">
        <f t="shared" si="7"/>
        <v>17901</v>
      </c>
      <c r="I22" s="212"/>
      <c r="J22" s="213"/>
      <c r="K22" s="214"/>
      <c r="M22" s="212"/>
      <c r="N22" s="215" t="str">
        <f t="shared" si="3"/>
        <v/>
      </c>
      <c r="O22" s="187">
        <f t="shared" si="4"/>
        <v>0</v>
      </c>
      <c r="P22" s="214"/>
      <c r="R22" s="216" t="s">
        <v>126</v>
      </c>
      <c r="S22" s="217">
        <f t="shared" si="5"/>
        <v>0</v>
      </c>
      <c r="T22" s="215" t="str">
        <f t="shared" si="6"/>
        <v/>
      </c>
      <c r="U22" s="187">
        <f t="shared" si="8"/>
        <v>0</v>
      </c>
      <c r="V22" s="218"/>
    </row>
    <row r="23" spans="2:22" x14ac:dyDescent="0.2">
      <c r="B23" s="200" t="s">
        <v>28</v>
      </c>
      <c r="C23" s="197" t="s">
        <v>314</v>
      </c>
      <c r="D23" s="183"/>
      <c r="E23" s="189">
        <v>0.05</v>
      </c>
      <c r="F23" s="183"/>
      <c r="G23" s="192">
        <f>SUM(G17:G22)*E23</f>
        <v>3102.5200000000004</v>
      </c>
      <c r="I23" s="214"/>
      <c r="J23" s="223" t="str">
        <f>IFERROR(IF(I23=0,"",IF(OR(I23-A23&gt;0,I23-A23&lt;0), (I23-A23)/A23, "")), "")</f>
        <v/>
      </c>
      <c r="K23" s="214"/>
      <c r="M23" s="214"/>
      <c r="N23" s="223" t="str">
        <f t="shared" si="3"/>
        <v/>
      </c>
      <c r="O23" s="187"/>
      <c r="P23" s="214"/>
      <c r="R23" s="214"/>
      <c r="S23" s="214"/>
      <c r="T23" s="224"/>
      <c r="U23" s="187">
        <f>SUM(U17:U22)*E23</f>
        <v>0</v>
      </c>
      <c r="V23" s="218"/>
    </row>
    <row r="24" spans="2:22" ht="16.5" thickBot="1" x14ac:dyDescent="0.25">
      <c r="B24" s="364" t="s">
        <v>106</v>
      </c>
      <c r="C24" s="365"/>
      <c r="D24" s="365"/>
      <c r="E24" s="365"/>
      <c r="F24" s="366"/>
      <c r="G24" s="191">
        <f>SUM(G17:G23)</f>
        <v>65152.92</v>
      </c>
      <c r="H24" s="219"/>
      <c r="I24" s="220"/>
      <c r="J24" s="220"/>
      <c r="K24" s="220"/>
      <c r="L24" s="219"/>
      <c r="M24" s="220"/>
      <c r="N24" s="220"/>
      <c r="O24" s="136">
        <f>SUM(O17:O23)</f>
        <v>0</v>
      </c>
      <c r="P24" s="220"/>
      <c r="Q24" s="219"/>
      <c r="R24" s="220"/>
      <c r="S24" s="220"/>
      <c r="T24" s="220"/>
      <c r="U24" s="136">
        <f>SUM(U17:U23)</f>
        <v>0</v>
      </c>
      <c r="V24" s="221"/>
    </row>
    <row r="25" spans="2:22" x14ac:dyDescent="0.2">
      <c r="B25" s="270"/>
    </row>
    <row r="26" spans="2:22" ht="16.5" thickBot="1" x14ac:dyDescent="0.25"/>
    <row r="27" spans="2:22" x14ac:dyDescent="0.2">
      <c r="B27" s="367" t="s">
        <v>290</v>
      </c>
      <c r="C27" s="368"/>
      <c r="D27" s="368"/>
      <c r="E27" s="368"/>
      <c r="F27" s="368"/>
      <c r="G27" s="368"/>
      <c r="H27" s="211"/>
      <c r="I27" s="378" t="s">
        <v>312</v>
      </c>
      <c r="J27" s="378"/>
      <c r="K27" s="378"/>
      <c r="L27" s="211"/>
      <c r="M27" s="378" t="s">
        <v>112</v>
      </c>
      <c r="N27" s="378"/>
      <c r="O27" s="378"/>
      <c r="P27" s="378"/>
      <c r="Q27" s="211"/>
      <c r="R27" s="378" t="s">
        <v>411</v>
      </c>
      <c r="S27" s="378"/>
      <c r="T27" s="378"/>
      <c r="U27" s="378"/>
      <c r="V27" s="379"/>
    </row>
    <row r="28" spans="2:22" ht="47.25" x14ac:dyDescent="0.2">
      <c r="B28" s="199" t="s">
        <v>151</v>
      </c>
      <c r="C28" s="195" t="s">
        <v>152</v>
      </c>
      <c r="D28" s="179" t="s">
        <v>153</v>
      </c>
      <c r="E28" s="179" t="s">
        <v>150</v>
      </c>
      <c r="F28" s="179" t="s">
        <v>223</v>
      </c>
      <c r="G28" s="179" t="s">
        <v>188</v>
      </c>
      <c r="I28" s="180" t="s">
        <v>311</v>
      </c>
      <c r="J28" s="180" t="s">
        <v>313</v>
      </c>
      <c r="K28" s="180" t="s">
        <v>103</v>
      </c>
      <c r="M28" s="180" t="s">
        <v>102</v>
      </c>
      <c r="N28" s="180" t="s">
        <v>104</v>
      </c>
      <c r="O28" s="181" t="s">
        <v>413</v>
      </c>
      <c r="P28" s="180" t="s">
        <v>103</v>
      </c>
      <c r="R28" s="180" t="s">
        <v>122</v>
      </c>
      <c r="S28" s="180" t="s">
        <v>113</v>
      </c>
      <c r="T28" s="180" t="s">
        <v>104</v>
      </c>
      <c r="U28" s="181" t="s">
        <v>321</v>
      </c>
      <c r="V28" s="182" t="s">
        <v>103</v>
      </c>
    </row>
    <row r="29" spans="2:22" x14ac:dyDescent="0.2">
      <c r="B29" s="369" t="s">
        <v>190</v>
      </c>
      <c r="C29" s="197" t="s">
        <v>192</v>
      </c>
      <c r="D29" s="183" t="s">
        <v>164</v>
      </c>
      <c r="E29" s="184">
        <v>1</v>
      </c>
      <c r="F29" s="185">
        <v>10800</v>
      </c>
      <c r="G29" s="186">
        <f t="shared" ref="G29:G36" si="9">F29*E29</f>
        <v>10800</v>
      </c>
      <c r="I29" s="212"/>
      <c r="J29" s="213"/>
      <c r="K29" s="214"/>
      <c r="M29" s="212"/>
      <c r="N29" s="215" t="str">
        <f t="shared" ref="N29:N36" si="10">IFERROR(IF(M29=0,"",IF(OR(M29-E29&gt;0,M29-E29&lt;0), (M29-E29)/E29, "")), "")</f>
        <v/>
      </c>
      <c r="O29" s="187">
        <f t="shared" ref="O29:O36" si="11">M29*F29</f>
        <v>0</v>
      </c>
      <c r="P29" s="214"/>
      <c r="R29" s="216" t="s">
        <v>126</v>
      </c>
      <c r="S29" s="217">
        <f t="shared" ref="S29:S36" si="12">M29</f>
        <v>0</v>
      </c>
      <c r="T29" s="215" t="str">
        <f t="shared" ref="T29:T36" si="13">IFERROR(IF(S29=0,"",IF(OR(S29-E29&gt;0,S29-E29&lt;0), (S29-E29)/E29, "")), "")</f>
        <v/>
      </c>
      <c r="U29" s="187">
        <f>S29*F29</f>
        <v>0</v>
      </c>
      <c r="V29" s="218"/>
    </row>
    <row r="30" spans="2:22" x14ac:dyDescent="0.2">
      <c r="B30" s="370"/>
      <c r="C30" s="197" t="s">
        <v>404</v>
      </c>
      <c r="D30" s="183" t="s">
        <v>164</v>
      </c>
      <c r="E30" s="184">
        <v>1</v>
      </c>
      <c r="F30" s="185">
        <v>1200</v>
      </c>
      <c r="G30" s="186">
        <f t="shared" si="9"/>
        <v>1200</v>
      </c>
      <c r="I30" s="212"/>
      <c r="J30" s="213"/>
      <c r="K30" s="214"/>
      <c r="M30" s="212"/>
      <c r="N30" s="215" t="str">
        <f t="shared" si="10"/>
        <v/>
      </c>
      <c r="O30" s="187">
        <f t="shared" si="11"/>
        <v>0</v>
      </c>
      <c r="P30" s="214"/>
      <c r="R30" s="216" t="s">
        <v>126</v>
      </c>
      <c r="S30" s="217">
        <f t="shared" si="12"/>
        <v>0</v>
      </c>
      <c r="T30" s="215" t="str">
        <f t="shared" si="13"/>
        <v/>
      </c>
      <c r="U30" s="187">
        <f t="shared" ref="U30:U36" si="14">S30*F30</f>
        <v>0</v>
      </c>
      <c r="V30" s="218"/>
    </row>
    <row r="31" spans="2:22" x14ac:dyDescent="0.2">
      <c r="B31" s="370"/>
      <c r="C31" s="197" t="s">
        <v>193</v>
      </c>
      <c r="D31" s="183" t="s">
        <v>164</v>
      </c>
      <c r="E31" s="184">
        <v>2</v>
      </c>
      <c r="F31" s="185">
        <v>480</v>
      </c>
      <c r="G31" s="186">
        <f t="shared" si="9"/>
        <v>960</v>
      </c>
      <c r="I31" s="212"/>
      <c r="J31" s="213"/>
      <c r="K31" s="214"/>
      <c r="M31" s="212"/>
      <c r="N31" s="215" t="str">
        <f t="shared" si="10"/>
        <v/>
      </c>
      <c r="O31" s="187">
        <f t="shared" si="11"/>
        <v>0</v>
      </c>
      <c r="P31" s="214"/>
      <c r="R31" s="216" t="s">
        <v>126</v>
      </c>
      <c r="S31" s="217">
        <f t="shared" si="12"/>
        <v>0</v>
      </c>
      <c r="T31" s="215" t="str">
        <f t="shared" si="13"/>
        <v/>
      </c>
      <c r="U31" s="187">
        <f t="shared" si="14"/>
        <v>0</v>
      </c>
      <c r="V31" s="218"/>
    </row>
    <row r="32" spans="2:22" x14ac:dyDescent="0.2">
      <c r="B32" s="370"/>
      <c r="C32" s="197" t="s">
        <v>194</v>
      </c>
      <c r="D32" s="183" t="s">
        <v>164</v>
      </c>
      <c r="E32" s="184">
        <v>2</v>
      </c>
      <c r="F32" s="185">
        <v>2999.8799999999997</v>
      </c>
      <c r="G32" s="186">
        <f t="shared" si="9"/>
        <v>5999.7599999999993</v>
      </c>
      <c r="I32" s="212"/>
      <c r="J32" s="213"/>
      <c r="K32" s="214"/>
      <c r="M32" s="212"/>
      <c r="N32" s="215" t="str">
        <f t="shared" si="10"/>
        <v/>
      </c>
      <c r="O32" s="187">
        <f t="shared" si="11"/>
        <v>0</v>
      </c>
      <c r="P32" s="214"/>
      <c r="R32" s="216" t="s">
        <v>126</v>
      </c>
      <c r="S32" s="217">
        <f t="shared" si="12"/>
        <v>0</v>
      </c>
      <c r="T32" s="215" t="str">
        <f t="shared" si="13"/>
        <v/>
      </c>
      <c r="U32" s="187">
        <f t="shared" si="14"/>
        <v>0</v>
      </c>
      <c r="V32" s="218"/>
    </row>
    <row r="33" spans="2:22" x14ac:dyDescent="0.2">
      <c r="B33" s="369" t="s">
        <v>191</v>
      </c>
      <c r="C33" s="197" t="s">
        <v>195</v>
      </c>
      <c r="D33" s="183" t="s">
        <v>164</v>
      </c>
      <c r="E33" s="184">
        <v>2</v>
      </c>
      <c r="F33" s="185">
        <v>15000.57</v>
      </c>
      <c r="G33" s="186">
        <f t="shared" si="9"/>
        <v>30001.14</v>
      </c>
      <c r="I33" s="212"/>
      <c r="J33" s="213"/>
      <c r="K33" s="214"/>
      <c r="M33" s="212"/>
      <c r="N33" s="215" t="str">
        <f t="shared" si="10"/>
        <v/>
      </c>
      <c r="O33" s="187">
        <f t="shared" si="11"/>
        <v>0</v>
      </c>
      <c r="P33" s="214"/>
      <c r="R33" s="216" t="s">
        <v>126</v>
      </c>
      <c r="S33" s="217">
        <f t="shared" si="12"/>
        <v>0</v>
      </c>
      <c r="T33" s="215" t="str">
        <f t="shared" si="13"/>
        <v/>
      </c>
      <c r="U33" s="187">
        <f t="shared" si="14"/>
        <v>0</v>
      </c>
      <c r="V33" s="218"/>
    </row>
    <row r="34" spans="2:22" x14ac:dyDescent="0.2">
      <c r="B34" s="370"/>
      <c r="C34" s="196" t="s">
        <v>391</v>
      </c>
      <c r="D34" s="183" t="s">
        <v>164</v>
      </c>
      <c r="E34" s="184">
        <v>1</v>
      </c>
      <c r="F34" s="185">
        <v>17000</v>
      </c>
      <c r="G34" s="186">
        <f t="shared" si="9"/>
        <v>17000</v>
      </c>
      <c r="I34" s="212"/>
      <c r="J34" s="213"/>
      <c r="K34" s="214"/>
      <c r="M34" s="212"/>
      <c r="N34" s="215" t="str">
        <f t="shared" si="10"/>
        <v/>
      </c>
      <c r="O34" s="187">
        <f t="shared" si="11"/>
        <v>0</v>
      </c>
      <c r="P34" s="214"/>
      <c r="R34" s="216" t="s">
        <v>126</v>
      </c>
      <c r="S34" s="217">
        <f t="shared" si="12"/>
        <v>0</v>
      </c>
      <c r="T34" s="215" t="str">
        <f t="shared" si="13"/>
        <v/>
      </c>
      <c r="U34" s="187">
        <f t="shared" si="14"/>
        <v>0</v>
      </c>
      <c r="V34" s="218"/>
    </row>
    <row r="35" spans="2:22" x14ac:dyDescent="0.2">
      <c r="B35" s="370"/>
      <c r="C35" s="196" t="s">
        <v>372</v>
      </c>
      <c r="D35" s="183" t="s">
        <v>164</v>
      </c>
      <c r="E35" s="184">
        <v>1</v>
      </c>
      <c r="F35" s="185">
        <v>5000</v>
      </c>
      <c r="G35" s="186">
        <f t="shared" si="9"/>
        <v>5000</v>
      </c>
      <c r="I35" s="212"/>
      <c r="J35" s="213"/>
      <c r="K35" s="214"/>
      <c r="M35" s="212"/>
      <c r="N35" s="215" t="str">
        <f t="shared" si="10"/>
        <v/>
      </c>
      <c r="O35" s="187">
        <f t="shared" si="11"/>
        <v>0</v>
      </c>
      <c r="P35" s="214"/>
      <c r="R35" s="216" t="s">
        <v>126</v>
      </c>
      <c r="S35" s="217">
        <f t="shared" si="12"/>
        <v>0</v>
      </c>
      <c r="T35" s="215" t="str">
        <f t="shared" si="13"/>
        <v/>
      </c>
      <c r="U35" s="187">
        <f t="shared" si="14"/>
        <v>0</v>
      </c>
      <c r="V35" s="218"/>
    </row>
    <row r="36" spans="2:22" x14ac:dyDescent="0.2">
      <c r="B36" s="370"/>
      <c r="C36" s="197" t="s">
        <v>196</v>
      </c>
      <c r="D36" s="183" t="s">
        <v>197</v>
      </c>
      <c r="E36" s="184">
        <v>1</v>
      </c>
      <c r="F36" s="185">
        <v>8000.4599999999991</v>
      </c>
      <c r="G36" s="186">
        <f t="shared" si="9"/>
        <v>8000.4599999999991</v>
      </c>
      <c r="I36" s="212"/>
      <c r="J36" s="213"/>
      <c r="K36" s="214"/>
      <c r="M36" s="212"/>
      <c r="N36" s="215" t="str">
        <f t="shared" si="10"/>
        <v/>
      </c>
      <c r="O36" s="187">
        <f t="shared" si="11"/>
        <v>0</v>
      </c>
      <c r="P36" s="214"/>
      <c r="R36" s="216" t="s">
        <v>126</v>
      </c>
      <c r="S36" s="217">
        <f t="shared" si="12"/>
        <v>0</v>
      </c>
      <c r="T36" s="215" t="str">
        <f t="shared" si="13"/>
        <v/>
      </c>
      <c r="U36" s="187">
        <f t="shared" si="14"/>
        <v>0</v>
      </c>
      <c r="V36" s="218"/>
    </row>
    <row r="37" spans="2:22" x14ac:dyDescent="0.2">
      <c r="B37" s="200" t="s">
        <v>28</v>
      </c>
      <c r="C37" s="197" t="s">
        <v>314</v>
      </c>
      <c r="D37" s="183"/>
      <c r="E37" s="189">
        <v>0.05</v>
      </c>
      <c r="F37" s="189"/>
      <c r="G37" s="190">
        <f>SUM(G29:G36)*E37</f>
        <v>3948.0679999999993</v>
      </c>
      <c r="I37" s="214"/>
      <c r="J37" s="214"/>
      <c r="K37" s="214"/>
      <c r="M37" s="214"/>
      <c r="N37" s="214"/>
      <c r="O37" s="187"/>
      <c r="P37" s="214"/>
      <c r="R37" s="214"/>
      <c r="S37" s="214"/>
      <c r="T37" s="225"/>
      <c r="U37" s="187">
        <f>SUM(U29:U36)*E37</f>
        <v>0</v>
      </c>
      <c r="V37" s="218"/>
    </row>
    <row r="38" spans="2:22" ht="16.5" thickBot="1" x14ac:dyDescent="0.25">
      <c r="B38" s="364" t="s">
        <v>106</v>
      </c>
      <c r="C38" s="365"/>
      <c r="D38" s="365"/>
      <c r="E38" s="365"/>
      <c r="F38" s="366"/>
      <c r="G38" s="191">
        <f>SUM(G29:G37)</f>
        <v>82909.427999999985</v>
      </c>
      <c r="H38" s="219"/>
      <c r="I38" s="220"/>
      <c r="J38" s="220"/>
      <c r="K38" s="220"/>
      <c r="L38" s="219"/>
      <c r="M38" s="220"/>
      <c r="N38" s="220"/>
      <c r="O38" s="136">
        <f>SUM(O29:O37)</f>
        <v>0</v>
      </c>
      <c r="P38" s="220"/>
      <c r="Q38" s="219"/>
      <c r="R38" s="220"/>
      <c r="S38" s="220"/>
      <c r="T38" s="220"/>
      <c r="U38" s="136">
        <f>SUM(U29:U37)</f>
        <v>0</v>
      </c>
      <c r="V38" s="221"/>
    </row>
    <row r="39" spans="2:22" ht="16.5" thickBot="1" x14ac:dyDescent="0.25"/>
    <row r="40" spans="2:22" x14ac:dyDescent="0.2">
      <c r="B40" s="367" t="s">
        <v>291</v>
      </c>
      <c r="C40" s="368"/>
      <c r="D40" s="368"/>
      <c r="E40" s="368"/>
      <c r="F40" s="368"/>
      <c r="G40" s="368"/>
      <c r="H40" s="211"/>
      <c r="I40" s="378" t="s">
        <v>312</v>
      </c>
      <c r="J40" s="378"/>
      <c r="K40" s="378"/>
      <c r="L40" s="211"/>
      <c r="M40" s="378" t="s">
        <v>112</v>
      </c>
      <c r="N40" s="378"/>
      <c r="O40" s="378"/>
      <c r="P40" s="378"/>
      <c r="Q40" s="211"/>
      <c r="R40" s="378" t="s">
        <v>411</v>
      </c>
      <c r="S40" s="378"/>
      <c r="T40" s="378"/>
      <c r="U40" s="378"/>
      <c r="V40" s="379"/>
    </row>
    <row r="41" spans="2:22" ht="47.25" x14ac:dyDescent="0.2">
      <c r="B41" s="199" t="s">
        <v>151</v>
      </c>
      <c r="C41" s="195" t="s">
        <v>152</v>
      </c>
      <c r="D41" s="179" t="s">
        <v>153</v>
      </c>
      <c r="E41" s="179" t="s">
        <v>150</v>
      </c>
      <c r="F41" s="179" t="s">
        <v>223</v>
      </c>
      <c r="G41" s="179" t="s">
        <v>188</v>
      </c>
      <c r="I41" s="180" t="s">
        <v>311</v>
      </c>
      <c r="J41" s="180" t="s">
        <v>313</v>
      </c>
      <c r="K41" s="180" t="s">
        <v>103</v>
      </c>
      <c r="M41" s="180" t="s">
        <v>102</v>
      </c>
      <c r="N41" s="180" t="s">
        <v>104</v>
      </c>
      <c r="O41" s="181" t="s">
        <v>413</v>
      </c>
      <c r="P41" s="180" t="s">
        <v>103</v>
      </c>
      <c r="R41" s="180" t="s">
        <v>122</v>
      </c>
      <c r="S41" s="180" t="s">
        <v>113</v>
      </c>
      <c r="T41" s="180" t="s">
        <v>104</v>
      </c>
      <c r="U41" s="181" t="s">
        <v>321</v>
      </c>
      <c r="V41" s="182" t="s">
        <v>103</v>
      </c>
    </row>
    <row r="42" spans="2:22" ht="47.25" x14ac:dyDescent="0.2">
      <c r="B42" s="201" t="s">
        <v>209</v>
      </c>
      <c r="C42" s="196" t="s">
        <v>405</v>
      </c>
      <c r="D42" s="133" t="s">
        <v>164</v>
      </c>
      <c r="E42" s="133">
        <v>15</v>
      </c>
      <c r="F42" s="142">
        <v>175.5</v>
      </c>
      <c r="G42" s="192">
        <f t="shared" ref="G42:G71" si="15">F42*E42</f>
        <v>2632.5</v>
      </c>
      <c r="I42" s="212"/>
      <c r="J42" s="213"/>
      <c r="K42" s="214"/>
      <c r="M42" s="212"/>
      <c r="N42" s="215" t="str">
        <f>IFERROR(IF(M42=0,"",IF(OR(M42-E42&gt;0,M42-E42&lt;0), (M42-E42)/E42, "")), "")</f>
        <v/>
      </c>
      <c r="O42" s="187">
        <f t="shared" ref="O42:O71" si="16">M42*F42</f>
        <v>0</v>
      </c>
      <c r="P42" s="214"/>
      <c r="R42" s="216" t="s">
        <v>126</v>
      </c>
      <c r="S42" s="217">
        <f t="shared" ref="S42:S71" si="17">M42</f>
        <v>0</v>
      </c>
      <c r="T42" s="215" t="str">
        <f>IFERROR(IF(S42=0,"",IF(OR(S42-E42&gt;0,S42-E42&lt;0), (S42-E42)/E42, "")), "")</f>
        <v/>
      </c>
      <c r="U42" s="187">
        <f>S42*F42</f>
        <v>0</v>
      </c>
      <c r="V42" s="218"/>
    </row>
    <row r="43" spans="2:22" x14ac:dyDescent="0.2">
      <c r="B43" s="201" t="s">
        <v>210</v>
      </c>
      <c r="C43" s="196" t="s">
        <v>214</v>
      </c>
      <c r="D43" s="133" t="s">
        <v>164</v>
      </c>
      <c r="E43" s="133">
        <v>1</v>
      </c>
      <c r="F43" s="142">
        <v>8000</v>
      </c>
      <c r="G43" s="192">
        <f t="shared" si="15"/>
        <v>8000</v>
      </c>
      <c r="I43" s="212"/>
      <c r="J43" s="213"/>
      <c r="K43" s="214"/>
      <c r="M43" s="212"/>
      <c r="N43" s="215" t="str">
        <f>IFERROR(IF(M43=0,"",IF(OR(M43-E43&gt;0,M43-E43&lt;0), (M43-E43)/E43, "")), "")</f>
        <v/>
      </c>
      <c r="O43" s="187">
        <f t="shared" si="16"/>
        <v>0</v>
      </c>
      <c r="P43" s="214"/>
      <c r="R43" s="216" t="s">
        <v>126</v>
      </c>
      <c r="S43" s="217">
        <f t="shared" si="17"/>
        <v>0</v>
      </c>
      <c r="T43" s="215" t="str">
        <f>IFERROR(IF(S43=0,"",IF(OR(S43-E43&gt;0,S43-E43&lt;0), (S43-E43)/E43, "")), "")</f>
        <v/>
      </c>
      <c r="U43" s="187">
        <f t="shared" ref="U43:U71" si="18">S43*F43</f>
        <v>0</v>
      </c>
      <c r="V43" s="218"/>
    </row>
    <row r="44" spans="2:22" x14ac:dyDescent="0.2">
      <c r="B44" s="201" t="s">
        <v>211</v>
      </c>
      <c r="C44" s="196"/>
      <c r="D44" s="133" t="s">
        <v>164</v>
      </c>
      <c r="E44" s="133">
        <v>1</v>
      </c>
      <c r="F44" s="142">
        <v>900</v>
      </c>
      <c r="G44" s="192">
        <f t="shared" si="15"/>
        <v>900</v>
      </c>
      <c r="I44" s="212"/>
      <c r="J44" s="213"/>
      <c r="K44" s="214"/>
      <c r="M44" s="212"/>
      <c r="N44" s="215" t="str">
        <f>IFERROR(IF(M44=0,"",IF(OR(M44-E44&gt;0,M44-E44&lt;0), (M44-E44)/E44, "")), "")</f>
        <v/>
      </c>
      <c r="O44" s="187">
        <f t="shared" si="16"/>
        <v>0</v>
      </c>
      <c r="P44" s="214"/>
      <c r="R44" s="216" t="s">
        <v>126</v>
      </c>
      <c r="S44" s="217">
        <f t="shared" si="17"/>
        <v>0</v>
      </c>
      <c r="T44" s="215" t="str">
        <f>IFERROR(IF(S44=0,"",IF(OR(S44-E44&gt;0,S44-E44&lt;0), (S44-E44)/E44, "")), "")</f>
        <v/>
      </c>
      <c r="U44" s="187">
        <f t="shared" si="18"/>
        <v>0</v>
      </c>
      <c r="V44" s="218"/>
    </row>
    <row r="45" spans="2:22" x14ac:dyDescent="0.2">
      <c r="B45" s="201" t="s">
        <v>369</v>
      </c>
      <c r="C45" s="196"/>
      <c r="D45" s="133" t="s">
        <v>164</v>
      </c>
      <c r="E45" s="133">
        <v>1</v>
      </c>
      <c r="F45" s="142">
        <v>150</v>
      </c>
      <c r="G45" s="192">
        <f t="shared" si="15"/>
        <v>150</v>
      </c>
      <c r="I45" s="212"/>
      <c r="J45" s="213"/>
      <c r="K45" s="214"/>
      <c r="M45" s="212"/>
      <c r="N45" s="225"/>
      <c r="O45" s="187">
        <f t="shared" si="16"/>
        <v>0</v>
      </c>
      <c r="P45" s="214"/>
      <c r="R45" s="216" t="s">
        <v>126</v>
      </c>
      <c r="S45" s="217">
        <f t="shared" si="17"/>
        <v>0</v>
      </c>
      <c r="T45" s="225"/>
      <c r="U45" s="187">
        <f t="shared" si="18"/>
        <v>0</v>
      </c>
      <c r="V45" s="218"/>
    </row>
    <row r="46" spans="2:22" x14ac:dyDescent="0.2">
      <c r="B46" s="201" t="s">
        <v>371</v>
      </c>
      <c r="C46" s="196"/>
      <c r="D46" s="133" t="s">
        <v>164</v>
      </c>
      <c r="E46" s="133">
        <v>1</v>
      </c>
      <c r="F46" s="142">
        <v>200</v>
      </c>
      <c r="G46" s="192">
        <f t="shared" si="15"/>
        <v>200</v>
      </c>
      <c r="I46" s="212"/>
      <c r="J46" s="213"/>
      <c r="K46" s="214"/>
      <c r="M46" s="212"/>
      <c r="N46" s="225"/>
      <c r="O46" s="187">
        <f t="shared" si="16"/>
        <v>0</v>
      </c>
      <c r="P46" s="214"/>
      <c r="R46" s="216" t="s">
        <v>126</v>
      </c>
      <c r="S46" s="217">
        <f t="shared" si="17"/>
        <v>0</v>
      </c>
      <c r="T46" s="225"/>
      <c r="U46" s="187">
        <f t="shared" si="18"/>
        <v>0</v>
      </c>
      <c r="V46" s="218"/>
    </row>
    <row r="47" spans="2:22" ht="31.5" x14ac:dyDescent="0.2">
      <c r="B47" s="202" t="s">
        <v>304</v>
      </c>
      <c r="C47" s="196"/>
      <c r="D47" s="132" t="s">
        <v>164</v>
      </c>
      <c r="E47" s="133">
        <v>2</v>
      </c>
      <c r="F47" s="142">
        <v>3600</v>
      </c>
      <c r="G47" s="192">
        <f t="shared" si="15"/>
        <v>7200</v>
      </c>
      <c r="I47" s="212"/>
      <c r="J47" s="213"/>
      <c r="K47" s="214"/>
      <c r="M47" s="212"/>
      <c r="N47" s="215" t="str">
        <f>IFERROR(IF(M47=0,"",IF(OR(M47-E47&gt;0,M47-E47&lt;0), (M47-E47)/E47, "")), "")</f>
        <v/>
      </c>
      <c r="O47" s="187">
        <f t="shared" si="16"/>
        <v>0</v>
      </c>
      <c r="P47" s="214"/>
      <c r="R47" s="216" t="s">
        <v>126</v>
      </c>
      <c r="S47" s="217">
        <f t="shared" si="17"/>
        <v>0</v>
      </c>
      <c r="T47" s="215" t="str">
        <f>IFERROR(IF(S47=0,"",IF(OR(S47-E47&gt;0,S47-E47&lt;0), (S47-E47)/E47, "")), "")</f>
        <v/>
      </c>
      <c r="U47" s="187">
        <f t="shared" si="18"/>
        <v>0</v>
      </c>
      <c r="V47" s="218"/>
    </row>
    <row r="48" spans="2:22" x14ac:dyDescent="0.2">
      <c r="B48" s="203" t="s">
        <v>370</v>
      </c>
      <c r="C48" s="196"/>
      <c r="D48" s="132" t="s">
        <v>164</v>
      </c>
      <c r="E48" s="133">
        <v>1</v>
      </c>
      <c r="F48" s="142">
        <v>750</v>
      </c>
      <c r="G48" s="192">
        <f t="shared" si="15"/>
        <v>750</v>
      </c>
      <c r="I48" s="212"/>
      <c r="J48" s="213"/>
      <c r="K48" s="214"/>
      <c r="M48" s="212"/>
      <c r="N48" s="215" t="str">
        <f>IFERROR(IF(M48=0,"",IF(OR(M48-E48&gt;0,M48-E48&lt;0), (M48-E48)/E48, "")), "")</f>
        <v/>
      </c>
      <c r="O48" s="187">
        <f t="shared" si="16"/>
        <v>0</v>
      </c>
      <c r="P48" s="214"/>
      <c r="R48" s="216"/>
      <c r="S48" s="217">
        <f t="shared" si="17"/>
        <v>0</v>
      </c>
      <c r="T48" s="225"/>
      <c r="U48" s="187">
        <f t="shared" si="18"/>
        <v>0</v>
      </c>
      <c r="V48" s="218"/>
    </row>
    <row r="49" spans="2:22" x14ac:dyDescent="0.2">
      <c r="B49" s="374" t="s">
        <v>392</v>
      </c>
      <c r="C49" s="196" t="s">
        <v>238</v>
      </c>
      <c r="D49" s="132" t="s">
        <v>164</v>
      </c>
      <c r="E49" s="133">
        <v>4</v>
      </c>
      <c r="F49" s="142">
        <v>3500</v>
      </c>
      <c r="G49" s="192">
        <f>F49*E49</f>
        <v>14000</v>
      </c>
      <c r="I49" s="212"/>
      <c r="J49" s="213"/>
      <c r="K49" s="214"/>
      <c r="M49" s="212"/>
      <c r="N49" s="215" t="str">
        <f>IFERROR(IF(M49=0,"",IF(OR(M49-E49&gt;0,M49-E49&lt;0), (M49-E49)/E49, "")), "")</f>
        <v/>
      </c>
      <c r="O49" s="187">
        <f t="shared" si="16"/>
        <v>0</v>
      </c>
      <c r="P49" s="214"/>
      <c r="R49" s="216" t="s">
        <v>126</v>
      </c>
      <c r="S49" s="217">
        <f t="shared" si="17"/>
        <v>0</v>
      </c>
      <c r="T49" s="215" t="str">
        <f>IFERROR(IF(S49=0,"",IF(OR(S49-E49&gt;0,S49-E49&lt;0), (S49-E49)/E49, "")), "")</f>
        <v/>
      </c>
      <c r="U49" s="187">
        <f t="shared" si="18"/>
        <v>0</v>
      </c>
      <c r="V49" s="218"/>
    </row>
    <row r="50" spans="2:22" x14ac:dyDescent="0.2">
      <c r="B50" s="375"/>
      <c r="C50" s="196" t="s">
        <v>239</v>
      </c>
      <c r="D50" s="132" t="s">
        <v>164</v>
      </c>
      <c r="E50" s="133">
        <v>4</v>
      </c>
      <c r="F50" s="142">
        <v>1200</v>
      </c>
      <c r="G50" s="192">
        <f t="shared" ref="G50:G53" si="19">F50*E50</f>
        <v>4800</v>
      </c>
      <c r="I50" s="212"/>
      <c r="J50" s="213"/>
      <c r="K50" s="214"/>
      <c r="M50" s="212"/>
      <c r="N50" s="215" t="str">
        <f t="shared" ref="N50:N71" si="20">IFERROR(IF(M50=0,"",IF(OR(M50-E50&gt;0,M50-E50&lt;0), (M50-E50)/E50, "")), "")</f>
        <v/>
      </c>
      <c r="O50" s="187">
        <f t="shared" si="16"/>
        <v>0</v>
      </c>
      <c r="P50" s="214"/>
      <c r="R50" s="216" t="s">
        <v>126</v>
      </c>
      <c r="S50" s="217">
        <f t="shared" si="17"/>
        <v>0</v>
      </c>
      <c r="T50" s="215" t="str">
        <f t="shared" ref="T50:T71" si="21">IFERROR(IF(S50=0,"",IF(OR(S50-E50&gt;0,S50-E50&lt;0), (S50-E50)/E50, "")), "")</f>
        <v/>
      </c>
      <c r="U50" s="187">
        <f t="shared" si="18"/>
        <v>0</v>
      </c>
      <c r="V50" s="218"/>
    </row>
    <row r="51" spans="2:22" x14ac:dyDescent="0.2">
      <c r="B51" s="375"/>
      <c r="C51" s="196" t="s">
        <v>240</v>
      </c>
      <c r="D51" s="132" t="s">
        <v>164</v>
      </c>
      <c r="E51" s="133">
        <v>1</v>
      </c>
      <c r="F51" s="142">
        <v>2500</v>
      </c>
      <c r="G51" s="192">
        <f t="shared" si="19"/>
        <v>2500</v>
      </c>
      <c r="I51" s="212"/>
      <c r="J51" s="213"/>
      <c r="K51" s="214"/>
      <c r="M51" s="212"/>
      <c r="N51" s="215" t="str">
        <f t="shared" si="20"/>
        <v/>
      </c>
      <c r="O51" s="187">
        <f t="shared" si="16"/>
        <v>0</v>
      </c>
      <c r="P51" s="214"/>
      <c r="R51" s="216" t="s">
        <v>126</v>
      </c>
      <c r="S51" s="217">
        <f t="shared" si="17"/>
        <v>0</v>
      </c>
      <c r="T51" s="215" t="str">
        <f>IFERROR(IF(S51=0,"",IF(OR(S51-E51&gt;0,S51-E51&lt;0), (S51-E51)/E51, "")), "")</f>
        <v/>
      </c>
      <c r="U51" s="187">
        <f t="shared" si="18"/>
        <v>0</v>
      </c>
      <c r="V51" s="218"/>
    </row>
    <row r="52" spans="2:22" x14ac:dyDescent="0.2">
      <c r="B52" s="375"/>
      <c r="C52" s="196" t="s">
        <v>242</v>
      </c>
      <c r="D52" s="132" t="s">
        <v>164</v>
      </c>
      <c r="E52" s="133">
        <v>1</v>
      </c>
      <c r="F52" s="142">
        <v>8000</v>
      </c>
      <c r="G52" s="192">
        <f t="shared" si="19"/>
        <v>8000</v>
      </c>
      <c r="I52" s="212"/>
      <c r="J52" s="213"/>
      <c r="K52" s="214"/>
      <c r="M52" s="212"/>
      <c r="N52" s="215" t="str">
        <f t="shared" si="20"/>
        <v/>
      </c>
      <c r="O52" s="187">
        <f t="shared" si="16"/>
        <v>0</v>
      </c>
      <c r="P52" s="214"/>
      <c r="R52" s="216" t="s">
        <v>126</v>
      </c>
      <c r="S52" s="217">
        <f t="shared" si="17"/>
        <v>0</v>
      </c>
      <c r="T52" s="215" t="str">
        <f t="shared" si="21"/>
        <v/>
      </c>
      <c r="U52" s="187">
        <f t="shared" si="18"/>
        <v>0</v>
      </c>
      <c r="V52" s="218"/>
    </row>
    <row r="53" spans="2:22" x14ac:dyDescent="0.2">
      <c r="B53" s="376"/>
      <c r="C53" s="196" t="s">
        <v>373</v>
      </c>
      <c r="D53" s="132" t="s">
        <v>164</v>
      </c>
      <c r="E53" s="133">
        <v>1</v>
      </c>
      <c r="F53" s="142">
        <v>1500</v>
      </c>
      <c r="G53" s="192">
        <f t="shared" si="19"/>
        <v>1500</v>
      </c>
      <c r="I53" s="212"/>
      <c r="J53" s="213"/>
      <c r="K53" s="214"/>
      <c r="M53" s="212"/>
      <c r="N53" s="215" t="str">
        <f t="shared" si="20"/>
        <v/>
      </c>
      <c r="O53" s="187">
        <f t="shared" si="16"/>
        <v>0</v>
      </c>
      <c r="P53" s="214"/>
      <c r="R53" s="216" t="s">
        <v>126</v>
      </c>
      <c r="S53" s="217">
        <f t="shared" si="17"/>
        <v>0</v>
      </c>
      <c r="T53" s="215" t="str">
        <f t="shared" si="21"/>
        <v/>
      </c>
      <c r="U53" s="187">
        <f t="shared" si="18"/>
        <v>0</v>
      </c>
      <c r="V53" s="218"/>
    </row>
    <row r="54" spans="2:22" x14ac:dyDescent="0.2">
      <c r="B54" s="371" t="s">
        <v>295</v>
      </c>
      <c r="C54" s="197" t="s">
        <v>226</v>
      </c>
      <c r="D54" s="188" t="s">
        <v>164</v>
      </c>
      <c r="E54" s="183">
        <v>5</v>
      </c>
      <c r="F54" s="193">
        <v>250.38</v>
      </c>
      <c r="G54" s="192">
        <f>F54*E54</f>
        <v>1251.9000000000001</v>
      </c>
      <c r="I54" s="212"/>
      <c r="J54" s="213"/>
      <c r="K54" s="214"/>
      <c r="M54" s="212"/>
      <c r="N54" s="215" t="str">
        <f>IFERROR(IF(M54=0,"",IF(OR(M54-E54&gt;0,M54-E54&lt;0), (M54-E54)/E54, "")), "")</f>
        <v/>
      </c>
      <c r="O54" s="187">
        <f t="shared" si="16"/>
        <v>0</v>
      </c>
      <c r="P54" s="214"/>
      <c r="R54" s="216" t="s">
        <v>126</v>
      </c>
      <c r="S54" s="217">
        <f t="shared" si="17"/>
        <v>0</v>
      </c>
      <c r="T54" s="215" t="str">
        <f t="shared" si="21"/>
        <v/>
      </c>
      <c r="U54" s="187">
        <f t="shared" si="18"/>
        <v>0</v>
      </c>
      <c r="V54" s="218"/>
    </row>
    <row r="55" spans="2:22" x14ac:dyDescent="0.2">
      <c r="B55" s="372"/>
      <c r="C55" s="197" t="s">
        <v>227</v>
      </c>
      <c r="D55" s="188" t="s">
        <v>164</v>
      </c>
      <c r="E55" s="183">
        <v>5</v>
      </c>
      <c r="F55" s="193">
        <v>150</v>
      </c>
      <c r="G55" s="192">
        <f t="shared" ref="G55:G61" si="22">F55*E55</f>
        <v>750</v>
      </c>
      <c r="I55" s="212"/>
      <c r="J55" s="213"/>
      <c r="K55" s="214"/>
      <c r="M55" s="212"/>
      <c r="N55" s="215" t="str">
        <f t="shared" si="20"/>
        <v/>
      </c>
      <c r="O55" s="187">
        <f t="shared" si="16"/>
        <v>0</v>
      </c>
      <c r="P55" s="214"/>
      <c r="R55" s="216" t="s">
        <v>126</v>
      </c>
      <c r="S55" s="217">
        <f t="shared" si="17"/>
        <v>0</v>
      </c>
      <c r="T55" s="215" t="str">
        <f t="shared" si="21"/>
        <v/>
      </c>
      <c r="U55" s="187">
        <f t="shared" si="18"/>
        <v>0</v>
      </c>
      <c r="V55" s="218"/>
    </row>
    <row r="56" spans="2:22" x14ac:dyDescent="0.2">
      <c r="B56" s="372"/>
      <c r="C56" s="197" t="s">
        <v>228</v>
      </c>
      <c r="D56" s="188" t="s">
        <v>164</v>
      </c>
      <c r="E56" s="183">
        <v>5</v>
      </c>
      <c r="F56" s="193">
        <v>150</v>
      </c>
      <c r="G56" s="192">
        <f t="shared" si="22"/>
        <v>750</v>
      </c>
      <c r="I56" s="212"/>
      <c r="J56" s="213"/>
      <c r="K56" s="214"/>
      <c r="M56" s="212"/>
      <c r="N56" s="215" t="str">
        <f>IFERROR(IF(M56=0,"",IF(OR(M56-E56&gt;0,M56-E56&lt;0), (M56-E56)/E56, "")), "")</f>
        <v/>
      </c>
      <c r="O56" s="187">
        <f t="shared" si="16"/>
        <v>0</v>
      </c>
      <c r="P56" s="214"/>
      <c r="R56" s="216" t="s">
        <v>126</v>
      </c>
      <c r="S56" s="217">
        <f t="shared" si="17"/>
        <v>0</v>
      </c>
      <c r="T56" s="215" t="str">
        <f>IFERROR(IF(S56=0,"",IF(OR(S56-E56&gt;0,S56-E56&lt;0), (S56-E56)/E56, "")), "")</f>
        <v/>
      </c>
      <c r="U56" s="187">
        <f t="shared" si="18"/>
        <v>0</v>
      </c>
      <c r="V56" s="218"/>
    </row>
    <row r="57" spans="2:22" x14ac:dyDescent="0.2">
      <c r="B57" s="372"/>
      <c r="C57" s="197" t="s">
        <v>229</v>
      </c>
      <c r="D57" s="188" t="s">
        <v>164</v>
      </c>
      <c r="E57" s="183">
        <v>3</v>
      </c>
      <c r="F57" s="193">
        <v>299.52</v>
      </c>
      <c r="G57" s="192">
        <f t="shared" si="22"/>
        <v>898.56</v>
      </c>
      <c r="I57" s="212"/>
      <c r="J57" s="213"/>
      <c r="K57" s="214"/>
      <c r="M57" s="212"/>
      <c r="N57" s="215" t="str">
        <f t="shared" si="20"/>
        <v/>
      </c>
      <c r="O57" s="187">
        <f t="shared" si="16"/>
        <v>0</v>
      </c>
      <c r="P57" s="214"/>
      <c r="R57" s="216" t="s">
        <v>126</v>
      </c>
      <c r="S57" s="217">
        <f t="shared" si="17"/>
        <v>0</v>
      </c>
      <c r="T57" s="215" t="str">
        <f t="shared" si="21"/>
        <v/>
      </c>
      <c r="U57" s="187">
        <f t="shared" si="18"/>
        <v>0</v>
      </c>
      <c r="V57" s="218"/>
    </row>
    <row r="58" spans="2:22" x14ac:dyDescent="0.2">
      <c r="B58" s="372"/>
      <c r="C58" s="197" t="s">
        <v>230</v>
      </c>
      <c r="D58" s="188" t="s">
        <v>164</v>
      </c>
      <c r="E58" s="183">
        <v>3</v>
      </c>
      <c r="F58" s="193">
        <v>299.52</v>
      </c>
      <c r="G58" s="192">
        <f t="shared" si="22"/>
        <v>898.56</v>
      </c>
      <c r="I58" s="212"/>
      <c r="J58" s="213"/>
      <c r="K58" s="214"/>
      <c r="M58" s="212"/>
      <c r="N58" s="215" t="str">
        <f t="shared" si="20"/>
        <v/>
      </c>
      <c r="O58" s="187">
        <f t="shared" si="16"/>
        <v>0</v>
      </c>
      <c r="P58" s="214"/>
      <c r="R58" s="216" t="s">
        <v>126</v>
      </c>
      <c r="S58" s="217">
        <f t="shared" si="17"/>
        <v>0</v>
      </c>
      <c r="T58" s="215" t="str">
        <f t="shared" si="21"/>
        <v/>
      </c>
      <c r="U58" s="187">
        <f t="shared" si="18"/>
        <v>0</v>
      </c>
      <c r="V58" s="218"/>
    </row>
    <row r="59" spans="2:22" x14ac:dyDescent="0.2">
      <c r="B59" s="373"/>
      <c r="C59" s="197" t="s">
        <v>231</v>
      </c>
      <c r="D59" s="188" t="s">
        <v>164</v>
      </c>
      <c r="E59" s="183">
        <v>5</v>
      </c>
      <c r="F59" s="193">
        <v>99.449999999999989</v>
      </c>
      <c r="G59" s="192">
        <f t="shared" si="22"/>
        <v>497.24999999999994</v>
      </c>
      <c r="I59" s="212"/>
      <c r="J59" s="213"/>
      <c r="K59" s="214"/>
      <c r="M59" s="212"/>
      <c r="N59" s="215" t="str">
        <f t="shared" si="20"/>
        <v/>
      </c>
      <c r="O59" s="187">
        <f t="shared" si="16"/>
        <v>0</v>
      </c>
      <c r="P59" s="214"/>
      <c r="R59" s="216" t="s">
        <v>126</v>
      </c>
      <c r="S59" s="217">
        <f t="shared" si="17"/>
        <v>0</v>
      </c>
      <c r="T59" s="215" t="str">
        <f t="shared" si="21"/>
        <v/>
      </c>
      <c r="U59" s="187">
        <f t="shared" si="18"/>
        <v>0</v>
      </c>
      <c r="V59" s="218"/>
    </row>
    <row r="60" spans="2:22" x14ac:dyDescent="0.2">
      <c r="B60" s="371" t="s">
        <v>296</v>
      </c>
      <c r="C60" s="197" t="s">
        <v>247</v>
      </c>
      <c r="D60" s="188" t="s">
        <v>164</v>
      </c>
      <c r="E60" s="183">
        <v>1</v>
      </c>
      <c r="F60" s="193">
        <v>4500</v>
      </c>
      <c r="G60" s="192">
        <f t="shared" si="22"/>
        <v>4500</v>
      </c>
      <c r="I60" s="212"/>
      <c r="J60" s="213"/>
      <c r="K60" s="214"/>
      <c r="M60" s="212"/>
      <c r="N60" s="215" t="str">
        <f t="shared" si="20"/>
        <v/>
      </c>
      <c r="O60" s="187">
        <f t="shared" si="16"/>
        <v>0</v>
      </c>
      <c r="P60" s="214"/>
      <c r="R60" s="216" t="s">
        <v>126</v>
      </c>
      <c r="S60" s="217">
        <f t="shared" si="17"/>
        <v>0</v>
      </c>
      <c r="T60" s="215" t="str">
        <f t="shared" si="21"/>
        <v/>
      </c>
      <c r="U60" s="187">
        <f t="shared" si="18"/>
        <v>0</v>
      </c>
      <c r="V60" s="218"/>
    </row>
    <row r="61" spans="2:22" x14ac:dyDescent="0.2">
      <c r="B61" s="372"/>
      <c r="C61" s="197" t="s">
        <v>248</v>
      </c>
      <c r="D61" s="188" t="s">
        <v>164</v>
      </c>
      <c r="E61" s="183">
        <v>3</v>
      </c>
      <c r="F61" s="193">
        <v>500</v>
      </c>
      <c r="G61" s="192">
        <f t="shared" si="22"/>
        <v>1500</v>
      </c>
      <c r="I61" s="212"/>
      <c r="J61" s="213"/>
      <c r="K61" s="214"/>
      <c r="M61" s="212"/>
      <c r="N61" s="215" t="str">
        <f t="shared" si="20"/>
        <v/>
      </c>
      <c r="O61" s="187">
        <f t="shared" si="16"/>
        <v>0</v>
      </c>
      <c r="P61" s="214"/>
      <c r="R61" s="216" t="s">
        <v>126</v>
      </c>
      <c r="S61" s="217">
        <f t="shared" si="17"/>
        <v>0</v>
      </c>
      <c r="T61" s="215" t="str">
        <f t="shared" si="21"/>
        <v/>
      </c>
      <c r="U61" s="187">
        <f t="shared" si="18"/>
        <v>0</v>
      </c>
      <c r="V61" s="218"/>
    </row>
    <row r="62" spans="2:22" x14ac:dyDescent="0.2">
      <c r="B62" s="200" t="s">
        <v>212</v>
      </c>
      <c r="C62" s="197" t="s">
        <v>320</v>
      </c>
      <c r="D62" s="188" t="s">
        <v>221</v>
      </c>
      <c r="E62" s="183">
        <v>1</v>
      </c>
      <c r="F62" s="193">
        <v>20000</v>
      </c>
      <c r="G62" s="192">
        <f t="shared" si="15"/>
        <v>20000</v>
      </c>
      <c r="I62" s="212"/>
      <c r="J62" s="213"/>
      <c r="K62" s="214"/>
      <c r="M62" s="212"/>
      <c r="N62" s="215" t="str">
        <f t="shared" si="20"/>
        <v/>
      </c>
      <c r="O62" s="187">
        <f t="shared" si="16"/>
        <v>0</v>
      </c>
      <c r="P62" s="214"/>
      <c r="R62" s="216" t="s">
        <v>126</v>
      </c>
      <c r="S62" s="217">
        <f t="shared" si="17"/>
        <v>0</v>
      </c>
      <c r="T62" s="215" t="str">
        <f t="shared" si="21"/>
        <v/>
      </c>
      <c r="U62" s="187">
        <f t="shared" si="18"/>
        <v>0</v>
      </c>
      <c r="V62" s="218"/>
    </row>
    <row r="63" spans="2:22" x14ac:dyDescent="0.2">
      <c r="B63" s="371" t="s">
        <v>297</v>
      </c>
      <c r="C63" s="197" t="s">
        <v>250</v>
      </c>
      <c r="D63" s="188" t="s">
        <v>164</v>
      </c>
      <c r="E63" s="183">
        <v>4</v>
      </c>
      <c r="F63" s="193">
        <v>400.14</v>
      </c>
      <c r="G63" s="192">
        <f>F63*E63</f>
        <v>1600.56</v>
      </c>
      <c r="I63" s="212"/>
      <c r="J63" s="213"/>
      <c r="K63" s="214"/>
      <c r="M63" s="212"/>
      <c r="N63" s="215" t="str">
        <f t="shared" si="20"/>
        <v/>
      </c>
      <c r="O63" s="187">
        <f t="shared" si="16"/>
        <v>0</v>
      </c>
      <c r="P63" s="214"/>
      <c r="R63" s="216" t="s">
        <v>126</v>
      </c>
      <c r="S63" s="217">
        <f t="shared" si="17"/>
        <v>0</v>
      </c>
      <c r="T63" s="215" t="str">
        <f t="shared" si="21"/>
        <v/>
      </c>
      <c r="U63" s="187">
        <f t="shared" si="18"/>
        <v>0</v>
      </c>
      <c r="V63" s="218"/>
    </row>
    <row r="64" spans="2:22" x14ac:dyDescent="0.2">
      <c r="B64" s="373"/>
      <c r="C64" s="197" t="s">
        <v>251</v>
      </c>
      <c r="D64" s="188" t="s">
        <v>164</v>
      </c>
      <c r="E64" s="183">
        <v>10</v>
      </c>
      <c r="F64" s="193">
        <v>140.39999999999998</v>
      </c>
      <c r="G64" s="192">
        <f>F64*E64</f>
        <v>1403.9999999999998</v>
      </c>
      <c r="I64" s="212"/>
      <c r="J64" s="213"/>
      <c r="K64" s="214"/>
      <c r="M64" s="212"/>
      <c r="N64" s="215" t="str">
        <f t="shared" si="20"/>
        <v/>
      </c>
      <c r="O64" s="187">
        <f t="shared" si="16"/>
        <v>0</v>
      </c>
      <c r="P64" s="214"/>
      <c r="R64" s="216" t="s">
        <v>126</v>
      </c>
      <c r="S64" s="217">
        <f t="shared" si="17"/>
        <v>0</v>
      </c>
      <c r="T64" s="215" t="str">
        <f t="shared" si="21"/>
        <v/>
      </c>
      <c r="U64" s="187">
        <f t="shared" si="18"/>
        <v>0</v>
      </c>
      <c r="V64" s="218"/>
    </row>
    <row r="65" spans="2:22" x14ac:dyDescent="0.2">
      <c r="B65" s="371" t="s">
        <v>298</v>
      </c>
      <c r="C65" s="197" t="s">
        <v>244</v>
      </c>
      <c r="D65" s="188" t="s">
        <v>164</v>
      </c>
      <c r="E65" s="183">
        <v>1</v>
      </c>
      <c r="F65" s="193">
        <v>1100</v>
      </c>
      <c r="G65" s="192">
        <f>F65*E65</f>
        <v>1100</v>
      </c>
      <c r="I65" s="212"/>
      <c r="J65" s="213"/>
      <c r="K65" s="214"/>
      <c r="M65" s="212"/>
      <c r="N65" s="215" t="str">
        <f t="shared" si="20"/>
        <v/>
      </c>
      <c r="O65" s="187">
        <f t="shared" si="16"/>
        <v>0</v>
      </c>
      <c r="P65" s="214"/>
      <c r="R65" s="216" t="s">
        <v>126</v>
      </c>
      <c r="S65" s="217">
        <f t="shared" si="17"/>
        <v>0</v>
      </c>
      <c r="T65" s="215" t="str">
        <f t="shared" si="21"/>
        <v/>
      </c>
      <c r="U65" s="187">
        <f t="shared" si="18"/>
        <v>0</v>
      </c>
      <c r="V65" s="218"/>
    </row>
    <row r="66" spans="2:22" x14ac:dyDescent="0.2">
      <c r="B66" s="372"/>
      <c r="C66" s="197" t="s">
        <v>245</v>
      </c>
      <c r="D66" s="188" t="s">
        <v>164</v>
      </c>
      <c r="E66" s="183">
        <v>1</v>
      </c>
      <c r="F66" s="193">
        <v>650.52</v>
      </c>
      <c r="G66" s="192">
        <f>F66*E66</f>
        <v>650.52</v>
      </c>
      <c r="I66" s="212"/>
      <c r="J66" s="213"/>
      <c r="K66" s="214"/>
      <c r="M66" s="212"/>
      <c r="N66" s="215" t="str">
        <f t="shared" si="20"/>
        <v/>
      </c>
      <c r="O66" s="187">
        <f t="shared" si="16"/>
        <v>0</v>
      </c>
      <c r="P66" s="214"/>
      <c r="R66" s="216" t="s">
        <v>126</v>
      </c>
      <c r="S66" s="217">
        <f t="shared" si="17"/>
        <v>0</v>
      </c>
      <c r="T66" s="215" t="str">
        <f t="shared" si="21"/>
        <v/>
      </c>
      <c r="U66" s="187">
        <f t="shared" si="18"/>
        <v>0</v>
      </c>
      <c r="V66" s="218"/>
    </row>
    <row r="67" spans="2:22" x14ac:dyDescent="0.2">
      <c r="B67" s="372"/>
      <c r="C67" s="197" t="s">
        <v>246</v>
      </c>
      <c r="D67" s="188" t="s">
        <v>164</v>
      </c>
      <c r="E67" s="183">
        <v>1</v>
      </c>
      <c r="F67" s="193">
        <v>1499.9399999999998</v>
      </c>
      <c r="G67" s="192">
        <f t="shared" si="15"/>
        <v>1499.9399999999998</v>
      </c>
      <c r="I67" s="212"/>
      <c r="J67" s="213"/>
      <c r="K67" s="214"/>
      <c r="M67" s="212"/>
      <c r="N67" s="215" t="str">
        <f t="shared" si="20"/>
        <v/>
      </c>
      <c r="O67" s="187">
        <f t="shared" si="16"/>
        <v>0</v>
      </c>
      <c r="P67" s="214"/>
      <c r="R67" s="216" t="s">
        <v>126</v>
      </c>
      <c r="S67" s="217">
        <f t="shared" si="17"/>
        <v>0</v>
      </c>
      <c r="T67" s="215" t="str">
        <f t="shared" si="21"/>
        <v/>
      </c>
      <c r="U67" s="187">
        <f t="shared" si="18"/>
        <v>0</v>
      </c>
      <c r="V67" s="218"/>
    </row>
    <row r="68" spans="2:22" x14ac:dyDescent="0.2">
      <c r="B68" s="373"/>
      <c r="C68" s="197" t="s">
        <v>218</v>
      </c>
      <c r="D68" s="188" t="s">
        <v>164</v>
      </c>
      <c r="E68" s="183">
        <v>1</v>
      </c>
      <c r="F68" s="193">
        <v>15000</v>
      </c>
      <c r="G68" s="192">
        <f t="shared" si="15"/>
        <v>15000</v>
      </c>
      <c r="I68" s="212"/>
      <c r="J68" s="213"/>
      <c r="K68" s="214"/>
      <c r="M68" s="212"/>
      <c r="N68" s="215" t="str">
        <f t="shared" si="20"/>
        <v/>
      </c>
      <c r="O68" s="187">
        <f t="shared" si="16"/>
        <v>0</v>
      </c>
      <c r="P68" s="214"/>
      <c r="R68" s="216" t="s">
        <v>126</v>
      </c>
      <c r="S68" s="217">
        <f t="shared" si="17"/>
        <v>0</v>
      </c>
      <c r="T68" s="215" t="str">
        <f t="shared" si="21"/>
        <v/>
      </c>
      <c r="U68" s="187">
        <f t="shared" si="18"/>
        <v>0</v>
      </c>
      <c r="V68" s="218"/>
    </row>
    <row r="69" spans="2:22" x14ac:dyDescent="0.2">
      <c r="B69" s="371" t="s">
        <v>213</v>
      </c>
      <c r="C69" s="197" t="s">
        <v>219</v>
      </c>
      <c r="D69" s="183" t="s">
        <v>221</v>
      </c>
      <c r="E69" s="183">
        <v>1</v>
      </c>
      <c r="F69" s="193">
        <v>15000</v>
      </c>
      <c r="G69" s="192">
        <f>F69*E69</f>
        <v>15000</v>
      </c>
      <c r="I69" s="212"/>
      <c r="J69" s="213"/>
      <c r="K69" s="214"/>
      <c r="M69" s="212"/>
      <c r="N69" s="215" t="str">
        <f t="shared" si="20"/>
        <v/>
      </c>
      <c r="O69" s="187">
        <f t="shared" si="16"/>
        <v>0</v>
      </c>
      <c r="P69" s="214"/>
      <c r="R69" s="216" t="s">
        <v>126</v>
      </c>
      <c r="S69" s="217">
        <f t="shared" si="17"/>
        <v>0</v>
      </c>
      <c r="T69" s="215" t="str">
        <f t="shared" si="21"/>
        <v/>
      </c>
      <c r="U69" s="187">
        <f t="shared" si="18"/>
        <v>0</v>
      </c>
      <c r="V69" s="218"/>
    </row>
    <row r="70" spans="2:22" x14ac:dyDescent="0.2">
      <c r="B70" s="373"/>
      <c r="C70" s="197" t="s">
        <v>220</v>
      </c>
      <c r="D70" s="183" t="s">
        <v>221</v>
      </c>
      <c r="E70" s="183">
        <v>1</v>
      </c>
      <c r="F70" s="193">
        <v>5000</v>
      </c>
      <c r="G70" s="192">
        <f t="shared" si="15"/>
        <v>5000</v>
      </c>
      <c r="I70" s="212"/>
      <c r="J70" s="213"/>
      <c r="K70" s="214"/>
      <c r="M70" s="212"/>
      <c r="N70" s="215" t="str">
        <f t="shared" si="20"/>
        <v/>
      </c>
      <c r="O70" s="187">
        <f t="shared" si="16"/>
        <v>0</v>
      </c>
      <c r="P70" s="214"/>
      <c r="R70" s="216" t="s">
        <v>126</v>
      </c>
      <c r="S70" s="217">
        <f t="shared" si="17"/>
        <v>0</v>
      </c>
      <c r="T70" s="215" t="str">
        <f t="shared" si="21"/>
        <v/>
      </c>
      <c r="U70" s="187">
        <f t="shared" si="18"/>
        <v>0</v>
      </c>
      <c r="V70" s="218"/>
    </row>
    <row r="71" spans="2:22" s="226" customFormat="1" x14ac:dyDescent="0.2">
      <c r="B71" s="204"/>
      <c r="C71" s="196" t="s">
        <v>368</v>
      </c>
      <c r="D71" s="133" t="s">
        <v>221</v>
      </c>
      <c r="E71" s="133">
        <v>1</v>
      </c>
      <c r="F71" s="142">
        <v>5200</v>
      </c>
      <c r="G71" s="142">
        <f t="shared" si="15"/>
        <v>5200</v>
      </c>
      <c r="I71" s="212"/>
      <c r="J71" s="213"/>
      <c r="K71" s="228"/>
      <c r="M71" s="212"/>
      <c r="N71" s="229" t="str">
        <f t="shared" si="20"/>
        <v/>
      </c>
      <c r="O71" s="187">
        <f t="shared" si="16"/>
        <v>0</v>
      </c>
      <c r="P71" s="228"/>
      <c r="R71" s="227" t="s">
        <v>126</v>
      </c>
      <c r="S71" s="217">
        <f t="shared" si="17"/>
        <v>0</v>
      </c>
      <c r="T71" s="229" t="str">
        <f t="shared" si="21"/>
        <v/>
      </c>
      <c r="U71" s="194">
        <f t="shared" si="18"/>
        <v>0</v>
      </c>
      <c r="V71" s="230"/>
    </row>
    <row r="72" spans="2:22" x14ac:dyDescent="0.2">
      <c r="B72" s="200" t="s">
        <v>28</v>
      </c>
      <c r="C72" s="197" t="s">
        <v>314</v>
      </c>
      <c r="D72" s="183"/>
      <c r="E72" s="189">
        <v>0.05</v>
      </c>
      <c r="F72" s="183"/>
      <c r="G72" s="192">
        <f>SUM(G42:G70)*E72</f>
        <v>6146.6895000000004</v>
      </c>
      <c r="I72" s="214"/>
      <c r="J72" s="214"/>
      <c r="K72" s="214"/>
      <c r="M72" s="214"/>
      <c r="N72" s="214"/>
      <c r="O72" s="187"/>
      <c r="P72" s="214"/>
      <c r="R72" s="214"/>
      <c r="S72" s="214"/>
      <c r="T72" s="214"/>
      <c r="U72" s="187">
        <f>SUM(U42:U70)*E72</f>
        <v>0</v>
      </c>
      <c r="V72" s="218"/>
    </row>
    <row r="73" spans="2:22" ht="16.5" thickBot="1" x14ac:dyDescent="0.25">
      <c r="B73" s="364" t="s">
        <v>106</v>
      </c>
      <c r="C73" s="365"/>
      <c r="D73" s="365"/>
      <c r="E73" s="365"/>
      <c r="F73" s="366"/>
      <c r="G73" s="191">
        <f>SUM(G42:G72)</f>
        <v>134280.47949999999</v>
      </c>
      <c r="H73" s="219"/>
      <c r="I73" s="220"/>
      <c r="J73" s="220"/>
      <c r="K73" s="220"/>
      <c r="L73" s="219"/>
      <c r="M73" s="220"/>
      <c r="N73" s="220"/>
      <c r="O73" s="136">
        <f>SUM(O42:O72)</f>
        <v>0</v>
      </c>
      <c r="P73" s="220"/>
      <c r="Q73" s="219"/>
      <c r="R73" s="220"/>
      <c r="S73" s="220"/>
      <c r="T73" s="220"/>
      <c r="U73" s="136">
        <f>SUM(U42:U72)</f>
        <v>0</v>
      </c>
      <c r="V73" s="221"/>
    </row>
    <row r="74" spans="2:22" x14ac:dyDescent="0.2">
      <c r="B74" s="300"/>
      <c r="C74" s="300"/>
      <c r="D74" s="300"/>
      <c r="E74" s="300"/>
      <c r="F74" s="300"/>
      <c r="G74" s="301"/>
      <c r="O74" s="271"/>
      <c r="U74" s="271"/>
    </row>
    <row r="75" spans="2:22" x14ac:dyDescent="0.2">
      <c r="B75" s="300"/>
      <c r="C75" s="300"/>
      <c r="D75" s="300"/>
      <c r="E75" s="300"/>
      <c r="F75" s="300"/>
      <c r="G75" s="301"/>
      <c r="O75" s="271"/>
      <c r="U75" s="271"/>
    </row>
    <row r="76" spans="2:22" x14ac:dyDescent="0.2">
      <c r="B76" s="272" t="s">
        <v>407</v>
      </c>
    </row>
    <row r="77" spans="2:22" ht="47.25" x14ac:dyDescent="0.2">
      <c r="B77" s="209" t="s">
        <v>316</v>
      </c>
      <c r="C77" s="222" t="s">
        <v>216</v>
      </c>
    </row>
    <row r="78" spans="2:22" ht="47.25" x14ac:dyDescent="0.2">
      <c r="B78" s="209" t="s">
        <v>294</v>
      </c>
      <c r="C78" s="222" t="s">
        <v>215</v>
      </c>
    </row>
    <row r="79" spans="2:22" ht="31.5" x14ac:dyDescent="0.2">
      <c r="B79" s="209" t="s">
        <v>297</v>
      </c>
      <c r="C79" s="222" t="s">
        <v>317</v>
      </c>
    </row>
    <row r="80" spans="2:22" ht="31.5" x14ac:dyDescent="0.2">
      <c r="B80" s="209" t="s">
        <v>318</v>
      </c>
      <c r="C80" s="222" t="s">
        <v>217</v>
      </c>
    </row>
  </sheetData>
  <sheetProtection algorithmName="SHA-512" hashValue="yCZuNPZ62MsQaB91FycURqkgkfCwTzpM9kTbnk5B4DrxHImo9Q8wYGLFOEaMKnVcRR1gOoqDP09rM45DsqGH4w==" saltValue="Ol8B0epoENmNTM8jmOz69A==" spinCount="100000" sheet="1" formatCells="0" formatColumns="0" formatRows="0"/>
  <mergeCells count="30">
    <mergeCell ref="B5:G5"/>
    <mergeCell ref="B69:B70"/>
    <mergeCell ref="M5:P5"/>
    <mergeCell ref="R5:V5"/>
    <mergeCell ref="M15:P15"/>
    <mergeCell ref="R15:V15"/>
    <mergeCell ref="B7:B11"/>
    <mergeCell ref="B13:F13"/>
    <mergeCell ref="I5:K5"/>
    <mergeCell ref="I15:K15"/>
    <mergeCell ref="M27:P27"/>
    <mergeCell ref="R27:V27"/>
    <mergeCell ref="M40:P40"/>
    <mergeCell ref="R40:V40"/>
    <mergeCell ref="I27:K27"/>
    <mergeCell ref="I40:K40"/>
    <mergeCell ref="B73:F73"/>
    <mergeCell ref="B15:G15"/>
    <mergeCell ref="B27:G27"/>
    <mergeCell ref="B29:B32"/>
    <mergeCell ref="B33:B36"/>
    <mergeCell ref="B38:F38"/>
    <mergeCell ref="B54:B59"/>
    <mergeCell ref="B49:B53"/>
    <mergeCell ref="B17:B22"/>
    <mergeCell ref="B24:F24"/>
    <mergeCell ref="B60:B61"/>
    <mergeCell ref="B63:B64"/>
    <mergeCell ref="B65:B68"/>
    <mergeCell ref="B40:G40"/>
  </mergeCells>
  <phoneticPr fontId="37" type="noConversion"/>
  <conditionalFormatting sqref="N7 N50:N71 T50:T70 N17:N22 T17:T22 U18:U22 U43:U71">
    <cfRule type="cellIs" dxfId="55" priority="81" operator="lessThan">
      <formula>0</formula>
    </cfRule>
    <cfRule type="cellIs" dxfId="54" priority="82" operator="greaterThan">
      <formula>0.01</formula>
    </cfRule>
  </conditionalFormatting>
  <conditionalFormatting sqref="N8:N11">
    <cfRule type="cellIs" dxfId="53" priority="79" operator="lessThan">
      <formula>0</formula>
    </cfRule>
    <cfRule type="cellIs" dxfId="52" priority="80" operator="greaterThan">
      <formula>0.01</formula>
    </cfRule>
  </conditionalFormatting>
  <conditionalFormatting sqref="T42:T48">
    <cfRule type="cellIs" dxfId="51" priority="65" operator="lessThan">
      <formula>0</formula>
    </cfRule>
    <cfRule type="cellIs" dxfId="50" priority="66" operator="greaterThan">
      <formula>0.01</formula>
    </cfRule>
  </conditionalFormatting>
  <conditionalFormatting sqref="T7:U11">
    <cfRule type="cellIs" dxfId="49" priority="77" operator="lessThan">
      <formula>0</formula>
    </cfRule>
    <cfRule type="cellIs" dxfId="48" priority="78" operator="greaterThan">
      <formula>0.01</formula>
    </cfRule>
  </conditionalFormatting>
  <conditionalFormatting sqref="T23:U23">
    <cfRule type="cellIs" dxfId="47" priority="73" operator="lessThan">
      <formula>0</formula>
    </cfRule>
    <cfRule type="cellIs" dxfId="46" priority="74" operator="greaterThan">
      <formula>0.01</formula>
    </cfRule>
  </conditionalFormatting>
  <conditionalFormatting sqref="N29:N36">
    <cfRule type="cellIs" dxfId="45" priority="71" operator="lessThan">
      <formula>0</formula>
    </cfRule>
    <cfRule type="cellIs" dxfId="44" priority="72" operator="greaterThan">
      <formula>0.01</formula>
    </cfRule>
  </conditionalFormatting>
  <conditionalFormatting sqref="T29:T36">
    <cfRule type="cellIs" dxfId="43" priority="69" operator="lessThan">
      <formula>0</formula>
    </cfRule>
    <cfRule type="cellIs" dxfId="42" priority="70" operator="greaterThan">
      <formula>0.01</formula>
    </cfRule>
  </conditionalFormatting>
  <conditionalFormatting sqref="N42:N44 N47:N48">
    <cfRule type="cellIs" dxfId="41" priority="67" operator="lessThan">
      <formula>0</formula>
    </cfRule>
    <cfRule type="cellIs" dxfId="40" priority="68" operator="greaterThan">
      <formula>0.01</formula>
    </cfRule>
  </conditionalFormatting>
  <conditionalFormatting sqref="T49">
    <cfRule type="cellIs" dxfId="39" priority="43" operator="lessThan">
      <formula>0</formula>
    </cfRule>
    <cfRule type="cellIs" dxfId="38" priority="44" operator="greaterThan">
      <formula>0.01</formula>
    </cfRule>
  </conditionalFormatting>
  <conditionalFormatting sqref="N49">
    <cfRule type="cellIs" dxfId="37" priority="45" operator="lessThan">
      <formula>0</formula>
    </cfRule>
    <cfRule type="cellIs" dxfId="36" priority="46" operator="greaterThan">
      <formula>0.01</formula>
    </cfRule>
  </conditionalFormatting>
  <conditionalFormatting sqref="U17">
    <cfRule type="cellIs" dxfId="35" priority="37" operator="lessThan">
      <formula>0</formula>
    </cfRule>
    <cfRule type="cellIs" dxfId="34" priority="38" operator="greaterThan">
      <formula>0.01</formula>
    </cfRule>
  </conditionalFormatting>
  <conditionalFormatting sqref="U29">
    <cfRule type="cellIs" dxfId="33" priority="33" operator="lessThan">
      <formula>0</formula>
    </cfRule>
    <cfRule type="cellIs" dxfId="32" priority="34" operator="greaterThan">
      <formula>0.01</formula>
    </cfRule>
  </conditionalFormatting>
  <conditionalFormatting sqref="U30:U36">
    <cfRule type="cellIs" dxfId="31" priority="31" operator="lessThan">
      <formula>0</formula>
    </cfRule>
    <cfRule type="cellIs" dxfId="30" priority="32" operator="greaterThan">
      <formula>0.01</formula>
    </cfRule>
  </conditionalFormatting>
  <conditionalFormatting sqref="U42">
    <cfRule type="cellIs" dxfId="29" priority="29" operator="lessThan">
      <formula>0</formula>
    </cfRule>
    <cfRule type="cellIs" dxfId="28" priority="30" operator="greaterThan">
      <formula>0.01</formula>
    </cfRule>
  </conditionalFormatting>
  <conditionalFormatting sqref="T37">
    <cfRule type="cellIs" dxfId="27" priority="25" operator="lessThan">
      <formula>0</formula>
    </cfRule>
    <cfRule type="cellIs" dxfId="26" priority="26" operator="greaterThan">
      <formula>0.01</formula>
    </cfRule>
  </conditionalFormatting>
  <conditionalFormatting sqref="N45">
    <cfRule type="cellIs" dxfId="25" priority="23" operator="lessThan">
      <formula>0</formula>
    </cfRule>
    <cfRule type="cellIs" dxfId="24" priority="24" operator="greaterThan">
      <formula>0.01</formula>
    </cfRule>
  </conditionalFormatting>
  <conditionalFormatting sqref="N46">
    <cfRule type="cellIs" dxfId="23" priority="21" operator="lessThan">
      <formula>0</formula>
    </cfRule>
    <cfRule type="cellIs" dxfId="22" priority="22" operator="greaterThan">
      <formula>0.01</formula>
    </cfRule>
  </conditionalFormatting>
  <conditionalFormatting sqref="T71">
    <cfRule type="cellIs" dxfId="21" priority="19" operator="lessThan">
      <formula>0</formula>
    </cfRule>
    <cfRule type="cellIs" dxfId="20" priority="20" operator="greaterThan">
      <formula>0.01</formula>
    </cfRule>
  </conditionalFormatting>
  <conditionalFormatting sqref="O7:O11">
    <cfRule type="cellIs" dxfId="19" priority="17" operator="lessThan">
      <formula>0</formula>
    </cfRule>
    <cfRule type="cellIs" dxfId="18" priority="18" operator="greaterThan">
      <formula>0.01</formula>
    </cfRule>
  </conditionalFormatting>
  <conditionalFormatting sqref="O23">
    <cfRule type="cellIs" dxfId="17" priority="15" operator="lessThan">
      <formula>0</formula>
    </cfRule>
    <cfRule type="cellIs" dxfId="16" priority="16" operator="greaterThan">
      <formula>0.01</formula>
    </cfRule>
  </conditionalFormatting>
  <conditionalFormatting sqref="O17:O22">
    <cfRule type="cellIs" dxfId="15" priority="5" operator="lessThan">
      <formula>0</formula>
    </cfRule>
    <cfRule type="cellIs" dxfId="14" priority="6" operator="greaterThan">
      <formula>0.01</formula>
    </cfRule>
  </conditionalFormatting>
  <conditionalFormatting sqref="O29:O36">
    <cfRule type="cellIs" dxfId="13" priority="3" operator="lessThan">
      <formula>0</formula>
    </cfRule>
    <cfRule type="cellIs" dxfId="12" priority="4" operator="greaterThan">
      <formula>0.01</formula>
    </cfRule>
  </conditionalFormatting>
  <conditionalFormatting sqref="O42:O71">
    <cfRule type="cellIs" dxfId="11" priority="1" operator="lessThan">
      <formula>0</formula>
    </cfRule>
    <cfRule type="cellIs" dxfId="10" priority="2" operator="greaterThan">
      <formula>0.01</formula>
    </cfRule>
  </conditionalFormatting>
  <dataValidations count="2">
    <dataValidation type="list" allowBlank="1" showInputMessage="1" showErrorMessage="1" sqref="R7:R11 R29:R36 R17:R23 R42:R71">
      <formula1>"מאשר, מאשר חלקי, לא מאשר"</formula1>
    </dataValidation>
    <dataValidation type="list" allowBlank="1" showInputMessage="1" showErrorMessage="1" sqref="J7:J11 J29:J36 J17:J22 J42:J71">
      <formula1>"שמיש-אך נדרש עוד, בלוי-נדרש להחליף"</formula1>
    </dataValidation>
  </dataValidations>
  <pageMargins left="0.7" right="0.7" top="0.75" bottom="0.75" header="0.3" footer="0.3"/>
  <pageSetup paperSize="9" scale="30" orientation="portrait" r:id="rId1"/>
  <ignoredErrors>
    <ignoredError sqref="S7 S8:S11 S17:S22 S29:S36 S42:S7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rightToLeft="1" topLeftCell="A19" workbookViewId="0">
      <selection activeCell="H41" sqref="H41"/>
    </sheetView>
  </sheetViews>
  <sheetFormatPr defaultRowHeight="15" x14ac:dyDescent="0.25"/>
  <cols>
    <col min="1" max="1" width="4.25" style="46" customWidth="1"/>
    <col min="2" max="2" width="25.5" style="46" customWidth="1"/>
    <col min="3" max="3" width="8.875" style="46" customWidth="1"/>
    <col min="4" max="4" width="10" style="46" bestFit="1" customWidth="1"/>
    <col min="5" max="6" width="11.875" style="46" bestFit="1" customWidth="1"/>
    <col min="7" max="8" width="9" style="46" customWidth="1"/>
    <col min="9" max="16384" width="9" style="46"/>
  </cols>
  <sheetData>
    <row r="2" spans="2:5" ht="20.25" x14ac:dyDescent="0.3">
      <c r="B2" s="54" t="s">
        <v>252</v>
      </c>
    </row>
    <row r="4" spans="2:5" x14ac:dyDescent="0.25">
      <c r="B4" s="47" t="s">
        <v>224</v>
      </c>
    </row>
    <row r="5" spans="2:5" ht="47.25" x14ac:dyDescent="0.25">
      <c r="B5" s="52" t="s">
        <v>180</v>
      </c>
      <c r="C5" s="53" t="s">
        <v>11</v>
      </c>
      <c r="D5" s="52" t="s">
        <v>187</v>
      </c>
      <c r="E5" s="52" t="s">
        <v>225</v>
      </c>
    </row>
    <row r="6" spans="2:5" ht="15.75" x14ac:dyDescent="0.25">
      <c r="B6" s="48" t="s">
        <v>226</v>
      </c>
      <c r="C6" s="49">
        <v>5</v>
      </c>
      <c r="D6" s="50">
        <f>214*1.17</f>
        <v>250.38</v>
      </c>
      <c r="E6" s="50">
        <f t="shared" ref="E6:E11" si="0">D6*C6</f>
        <v>1251.9000000000001</v>
      </c>
    </row>
    <row r="7" spans="2:5" ht="15.75" x14ac:dyDescent="0.25">
      <c r="B7" s="48" t="s">
        <v>227</v>
      </c>
      <c r="C7" s="49">
        <v>5</v>
      </c>
      <c r="D7" s="50">
        <f>256*1.17</f>
        <v>299.52</v>
      </c>
      <c r="E7" s="50">
        <f t="shared" si="0"/>
        <v>1497.6</v>
      </c>
    </row>
    <row r="8" spans="2:5" ht="15.75" x14ac:dyDescent="0.25">
      <c r="B8" s="48" t="s">
        <v>228</v>
      </c>
      <c r="C8" s="49">
        <v>5</v>
      </c>
      <c r="D8" s="50">
        <f>256*1.17</f>
        <v>299.52</v>
      </c>
      <c r="E8" s="50">
        <f t="shared" si="0"/>
        <v>1497.6</v>
      </c>
    </row>
    <row r="9" spans="2:5" ht="15.75" x14ac:dyDescent="0.25">
      <c r="B9" s="48" t="s">
        <v>229</v>
      </c>
      <c r="C9" s="49">
        <v>3</v>
      </c>
      <c r="D9" s="50">
        <f>256*1.17</f>
        <v>299.52</v>
      </c>
      <c r="E9" s="50">
        <f t="shared" si="0"/>
        <v>898.56</v>
      </c>
    </row>
    <row r="10" spans="2:5" ht="15.75" x14ac:dyDescent="0.25">
      <c r="B10" s="48" t="s">
        <v>230</v>
      </c>
      <c r="C10" s="49">
        <v>3</v>
      </c>
      <c r="D10" s="50">
        <f>256*1.17</f>
        <v>299.52</v>
      </c>
      <c r="E10" s="50">
        <f t="shared" si="0"/>
        <v>898.56</v>
      </c>
    </row>
    <row r="11" spans="2:5" ht="15.75" x14ac:dyDescent="0.25">
      <c r="B11" s="48" t="s">
        <v>231</v>
      </c>
      <c r="C11" s="49">
        <v>5</v>
      </c>
      <c r="D11" s="50">
        <f>85*1.17</f>
        <v>99.449999999999989</v>
      </c>
      <c r="E11" s="50">
        <f t="shared" si="0"/>
        <v>497.24999999999994</v>
      </c>
    </row>
    <row r="12" spans="2:5" ht="15.75" x14ac:dyDescent="0.25">
      <c r="B12" s="380" t="s">
        <v>106</v>
      </c>
      <c r="C12" s="354"/>
      <c r="D12" s="355"/>
      <c r="E12" s="56">
        <f>SUM(E6:E11)</f>
        <v>6541.4699999999993</v>
      </c>
    </row>
    <row r="14" spans="2:5" x14ac:dyDescent="0.25">
      <c r="B14" s="47" t="s">
        <v>234</v>
      </c>
    </row>
    <row r="15" spans="2:5" ht="47.25" x14ac:dyDescent="0.25">
      <c r="B15" s="52" t="s">
        <v>180</v>
      </c>
      <c r="C15" s="53" t="s">
        <v>11</v>
      </c>
      <c r="D15" s="52" t="s">
        <v>187</v>
      </c>
      <c r="E15" s="52" t="s">
        <v>225</v>
      </c>
    </row>
    <row r="16" spans="2:5" ht="15.75" x14ac:dyDescent="0.25">
      <c r="B16" s="48" t="s">
        <v>238</v>
      </c>
      <c r="C16" s="49">
        <v>1</v>
      </c>
      <c r="D16" s="50">
        <f>4274*1.17</f>
        <v>5000.58</v>
      </c>
      <c r="E16" s="50">
        <f t="shared" ref="E16:E21" si="1">D16*C16</f>
        <v>5000.58</v>
      </c>
    </row>
    <row r="17" spans="2:5" ht="15.75" x14ac:dyDescent="0.25">
      <c r="B17" s="48" t="s">
        <v>239</v>
      </c>
      <c r="C17" s="49">
        <v>1</v>
      </c>
      <c r="D17" s="50">
        <f>855*1.17</f>
        <v>1000.3499999999999</v>
      </c>
      <c r="E17" s="50">
        <f t="shared" si="1"/>
        <v>1000.3499999999999</v>
      </c>
    </row>
    <row r="18" spans="2:5" ht="15.75" x14ac:dyDescent="0.25">
      <c r="B18" s="48" t="s">
        <v>240</v>
      </c>
      <c r="C18" s="49">
        <v>1</v>
      </c>
      <c r="D18" s="50">
        <f>3419*1.17</f>
        <v>4000.2299999999996</v>
      </c>
      <c r="E18" s="50">
        <f t="shared" si="1"/>
        <v>4000.2299999999996</v>
      </c>
    </row>
    <row r="19" spans="2:5" ht="15.75" x14ac:dyDescent="0.25">
      <c r="B19" s="55" t="s">
        <v>241</v>
      </c>
      <c r="C19" s="49">
        <v>1</v>
      </c>
      <c r="D19" s="50">
        <f>342*1.17</f>
        <v>400.14</v>
      </c>
      <c r="E19" s="50">
        <f t="shared" si="1"/>
        <v>400.14</v>
      </c>
    </row>
    <row r="20" spans="2:5" ht="15.75" x14ac:dyDescent="0.25">
      <c r="B20" s="48" t="s">
        <v>242</v>
      </c>
      <c r="C20" s="49">
        <v>1</v>
      </c>
      <c r="D20" s="50">
        <f>11111*1.17</f>
        <v>12999.869999999999</v>
      </c>
      <c r="E20" s="50">
        <f t="shared" si="1"/>
        <v>12999.869999999999</v>
      </c>
    </row>
    <row r="21" spans="2:5" ht="15.75" x14ac:dyDescent="0.25">
      <c r="B21" s="48" t="s">
        <v>243</v>
      </c>
      <c r="C21" s="49">
        <v>1</v>
      </c>
      <c r="D21" s="50">
        <f>855*1.17</f>
        <v>1000.3499999999999</v>
      </c>
      <c r="E21" s="50">
        <f t="shared" si="1"/>
        <v>1000.3499999999999</v>
      </c>
    </row>
    <row r="22" spans="2:5" ht="15.75" x14ac:dyDescent="0.25">
      <c r="B22" s="380" t="s">
        <v>106</v>
      </c>
      <c r="C22" s="354"/>
      <c r="D22" s="355"/>
      <c r="E22" s="56">
        <f>SUM(E16:E21)</f>
        <v>24401.519999999997</v>
      </c>
    </row>
    <row r="24" spans="2:5" x14ac:dyDescent="0.25">
      <c r="B24" s="47" t="s">
        <v>235</v>
      </c>
    </row>
    <row r="25" spans="2:5" ht="47.25" x14ac:dyDescent="0.25">
      <c r="B25" s="52" t="s">
        <v>180</v>
      </c>
      <c r="C25" s="53" t="s">
        <v>11</v>
      </c>
      <c r="D25" s="52" t="s">
        <v>187</v>
      </c>
      <c r="E25" s="52" t="s">
        <v>225</v>
      </c>
    </row>
    <row r="26" spans="2:5" ht="15.75" x14ac:dyDescent="0.25">
      <c r="B26" s="48" t="s">
        <v>244</v>
      </c>
      <c r="C26" s="49">
        <v>1</v>
      </c>
      <c r="D26" s="50">
        <f>940*1.17</f>
        <v>1099.8</v>
      </c>
      <c r="E26" s="50">
        <f>D26*C26</f>
        <v>1099.8</v>
      </c>
    </row>
    <row r="27" spans="2:5" ht="15.75" x14ac:dyDescent="0.25">
      <c r="B27" s="48" t="s">
        <v>245</v>
      </c>
      <c r="C27" s="49">
        <v>1</v>
      </c>
      <c r="D27" s="50">
        <f>556*1.17</f>
        <v>650.52</v>
      </c>
      <c r="E27" s="50">
        <f>D27*C27</f>
        <v>650.52</v>
      </c>
    </row>
    <row r="28" spans="2:5" ht="15.75" x14ac:dyDescent="0.25">
      <c r="B28" s="48" t="s">
        <v>246</v>
      </c>
      <c r="C28" s="49">
        <v>1</v>
      </c>
      <c r="D28" s="50">
        <f>1282*1.17</f>
        <v>1499.9399999999998</v>
      </c>
      <c r="E28" s="50">
        <f>D28*C28</f>
        <v>1499.9399999999998</v>
      </c>
    </row>
    <row r="29" spans="2:5" ht="15.75" x14ac:dyDescent="0.25">
      <c r="B29" s="380" t="s">
        <v>106</v>
      </c>
      <c r="C29" s="354"/>
      <c r="D29" s="355"/>
      <c r="E29" s="56">
        <f>SUM(E26:E28)</f>
        <v>3250.2599999999998</v>
      </c>
    </row>
    <row r="31" spans="2:5" x14ac:dyDescent="0.25">
      <c r="B31" s="47" t="s">
        <v>236</v>
      </c>
    </row>
    <row r="32" spans="2:5" ht="47.25" x14ac:dyDescent="0.25">
      <c r="B32" s="52" t="s">
        <v>180</v>
      </c>
      <c r="C32" s="53" t="s">
        <v>11</v>
      </c>
      <c r="D32" s="52" t="s">
        <v>187</v>
      </c>
      <c r="E32" s="52" t="s">
        <v>225</v>
      </c>
    </row>
    <row r="33" spans="2:5" ht="15.75" x14ac:dyDescent="0.25">
      <c r="B33" s="48" t="s">
        <v>247</v>
      </c>
      <c r="C33" s="49">
        <v>1</v>
      </c>
      <c r="D33" s="50">
        <f>4872*1.17</f>
        <v>5700.24</v>
      </c>
      <c r="E33" s="50">
        <f>D33*C33</f>
        <v>5700.24</v>
      </c>
    </row>
    <row r="34" spans="2:5" ht="15.75" x14ac:dyDescent="0.25">
      <c r="B34" s="48" t="s">
        <v>248</v>
      </c>
      <c r="C34" s="49">
        <v>3</v>
      </c>
      <c r="D34" s="50">
        <f>213.6*1.17</f>
        <v>249.91199999999998</v>
      </c>
      <c r="E34" s="50">
        <f>D34*C34</f>
        <v>749.73599999999988</v>
      </c>
    </row>
    <row r="35" spans="2:5" ht="15.75" x14ac:dyDescent="0.25">
      <c r="B35" s="48" t="s">
        <v>249</v>
      </c>
      <c r="C35" s="49">
        <v>1</v>
      </c>
      <c r="D35" s="50">
        <f>855*1.17</f>
        <v>1000.3499999999999</v>
      </c>
      <c r="E35" s="50">
        <f>D35*C35</f>
        <v>1000.3499999999999</v>
      </c>
    </row>
    <row r="36" spans="2:5" ht="15.75" x14ac:dyDescent="0.25">
      <c r="B36" s="380" t="s">
        <v>106</v>
      </c>
      <c r="C36" s="354"/>
      <c r="D36" s="355"/>
      <c r="E36" s="56">
        <f>SUM(E33:E35)</f>
        <v>7450.3259999999991</v>
      </c>
    </row>
    <row r="38" spans="2:5" x14ac:dyDescent="0.25">
      <c r="B38" s="47" t="s">
        <v>237</v>
      </c>
    </row>
    <row r="39" spans="2:5" ht="47.25" x14ac:dyDescent="0.25">
      <c r="B39" s="52" t="s">
        <v>180</v>
      </c>
      <c r="C39" s="53" t="s">
        <v>11</v>
      </c>
      <c r="D39" s="52" t="s">
        <v>187</v>
      </c>
      <c r="E39" s="52" t="s">
        <v>225</v>
      </c>
    </row>
    <row r="40" spans="2:5" ht="15.75" x14ac:dyDescent="0.25">
      <c r="B40" s="48" t="s">
        <v>250</v>
      </c>
      <c r="C40" s="49">
        <v>4</v>
      </c>
      <c r="D40" s="50">
        <f>342*1.17</f>
        <v>400.14</v>
      </c>
      <c r="E40" s="50">
        <f>D40*C40</f>
        <v>1600.56</v>
      </c>
    </row>
    <row r="41" spans="2:5" ht="15.75" x14ac:dyDescent="0.25">
      <c r="B41" s="48" t="s">
        <v>251</v>
      </c>
      <c r="C41" s="49">
        <v>10</v>
      </c>
      <c r="D41" s="50">
        <f>120*1.17</f>
        <v>140.39999999999998</v>
      </c>
      <c r="E41" s="50">
        <f>D41*C41</f>
        <v>1403.9999999999998</v>
      </c>
    </row>
    <row r="42" spans="2:5" ht="15.75" x14ac:dyDescent="0.25">
      <c r="B42" s="380" t="s">
        <v>106</v>
      </c>
      <c r="C42" s="354"/>
      <c r="D42" s="355"/>
      <c r="E42" s="56">
        <f>SUM(E40:E41)</f>
        <v>3004.5599999999995</v>
      </c>
    </row>
  </sheetData>
  <mergeCells count="5">
    <mergeCell ref="B12:D12"/>
    <mergeCell ref="B22:D22"/>
    <mergeCell ref="B29:D29"/>
    <mergeCell ref="B42:D42"/>
    <mergeCell ref="B36:D3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44"/>
  <sheetViews>
    <sheetView rightToLeft="1" view="pageBreakPreview" zoomScaleNormal="100" zoomScaleSheetLayoutView="100" workbookViewId="0">
      <selection activeCell="G14" sqref="G14"/>
    </sheetView>
  </sheetViews>
  <sheetFormatPr defaultRowHeight="14.25" x14ac:dyDescent="0.2"/>
  <cols>
    <col min="1" max="1" width="16.625" style="111" customWidth="1"/>
    <col min="2" max="2" width="21.75" style="111" customWidth="1"/>
    <col min="3" max="3" width="19.75" style="111" customWidth="1"/>
    <col min="4" max="4" width="12.75" style="111" customWidth="1"/>
    <col min="5" max="5" width="13.875" style="111" customWidth="1"/>
    <col min="6" max="6" width="13.25" style="111" customWidth="1"/>
    <col min="7" max="7" width="24.125" style="112" customWidth="1"/>
    <col min="8" max="16384" width="9" style="111"/>
  </cols>
  <sheetData>
    <row r="9" spans="1:7" ht="20.25" x14ac:dyDescent="0.3">
      <c r="B9" s="70" t="s">
        <v>351</v>
      </c>
    </row>
    <row r="10" spans="1:7" x14ac:dyDescent="0.2">
      <c r="A10" s="113" t="s">
        <v>336</v>
      </c>
    </row>
    <row r="11" spans="1:7" ht="14.25" customHeight="1" x14ac:dyDescent="0.2">
      <c r="A11" s="113" t="s">
        <v>337</v>
      </c>
      <c r="B11" s="113"/>
      <c r="C11" s="113"/>
    </row>
    <row r="13" spans="1:7" s="116" customFormat="1" ht="57" customHeight="1" x14ac:dyDescent="0.25">
      <c r="A13" s="114" t="s">
        <v>338</v>
      </c>
      <c r="B13" s="115" t="s">
        <v>339</v>
      </c>
      <c r="C13" s="114" t="s">
        <v>340</v>
      </c>
      <c r="D13" s="114" t="s">
        <v>341</v>
      </c>
      <c r="E13" s="114" t="s">
        <v>342</v>
      </c>
      <c r="F13" s="114" t="s">
        <v>343</v>
      </c>
      <c r="G13" s="114" t="s">
        <v>414</v>
      </c>
    </row>
    <row r="14" spans="1:7" x14ac:dyDescent="0.2">
      <c r="A14" s="384" t="s">
        <v>344</v>
      </c>
      <c r="B14" s="117"/>
      <c r="C14" s="117"/>
      <c r="D14" s="117"/>
      <c r="E14" s="117"/>
      <c r="F14" s="117"/>
      <c r="G14" s="118">
        <f>D14*E14</f>
        <v>0</v>
      </c>
    </row>
    <row r="15" spans="1:7" x14ac:dyDescent="0.2">
      <c r="A15" s="384"/>
      <c r="B15" s="117"/>
      <c r="C15" s="117"/>
      <c r="D15" s="117"/>
      <c r="E15" s="117"/>
      <c r="F15" s="117"/>
      <c r="G15" s="118">
        <f t="shared" ref="G15:G43" si="0">D15*E15</f>
        <v>0</v>
      </c>
    </row>
    <row r="16" spans="1:7" x14ac:dyDescent="0.2">
      <c r="A16" s="384"/>
      <c r="B16" s="117"/>
      <c r="C16" s="117"/>
      <c r="D16" s="117"/>
      <c r="E16" s="117"/>
      <c r="F16" s="117"/>
      <c r="G16" s="118">
        <f t="shared" si="0"/>
        <v>0</v>
      </c>
    </row>
    <row r="17" spans="1:7" x14ac:dyDescent="0.2">
      <c r="A17" s="384"/>
      <c r="B17" s="117"/>
      <c r="C17" s="117"/>
      <c r="D17" s="117"/>
      <c r="E17" s="117"/>
      <c r="F17" s="117"/>
      <c r="G17" s="118">
        <f t="shared" si="0"/>
        <v>0</v>
      </c>
    </row>
    <row r="18" spans="1:7" x14ac:dyDescent="0.2">
      <c r="A18" s="384"/>
      <c r="B18" s="117"/>
      <c r="C18" s="117"/>
      <c r="D18" s="117"/>
      <c r="E18" s="117"/>
      <c r="F18" s="117"/>
      <c r="G18" s="118">
        <f t="shared" si="0"/>
        <v>0</v>
      </c>
    </row>
    <row r="19" spans="1:7" x14ac:dyDescent="0.2">
      <c r="A19" s="384" t="s">
        <v>345</v>
      </c>
      <c r="B19" s="117"/>
      <c r="C19" s="117"/>
      <c r="D19" s="117"/>
      <c r="E19" s="117"/>
      <c r="F19" s="117"/>
      <c r="G19" s="118">
        <f t="shared" si="0"/>
        <v>0</v>
      </c>
    </row>
    <row r="20" spans="1:7" x14ac:dyDescent="0.2">
      <c r="A20" s="384"/>
      <c r="B20" s="117"/>
      <c r="C20" s="117"/>
      <c r="D20" s="117"/>
      <c r="E20" s="117"/>
      <c r="F20" s="117"/>
      <c r="G20" s="118">
        <f t="shared" si="0"/>
        <v>0</v>
      </c>
    </row>
    <row r="21" spans="1:7" x14ac:dyDescent="0.2">
      <c r="A21" s="384"/>
      <c r="B21" s="117"/>
      <c r="C21" s="117"/>
      <c r="D21" s="117"/>
      <c r="E21" s="117"/>
      <c r="F21" s="117"/>
      <c r="G21" s="118">
        <f t="shared" si="0"/>
        <v>0</v>
      </c>
    </row>
    <row r="22" spans="1:7" x14ac:dyDescent="0.2">
      <c r="A22" s="384"/>
      <c r="B22" s="117"/>
      <c r="C22" s="117"/>
      <c r="D22" s="117"/>
      <c r="E22" s="117"/>
      <c r="F22" s="117"/>
      <c r="G22" s="118">
        <f t="shared" si="0"/>
        <v>0</v>
      </c>
    </row>
    <row r="23" spans="1:7" x14ac:dyDescent="0.2">
      <c r="A23" s="384"/>
      <c r="B23" s="117"/>
      <c r="C23" s="117"/>
      <c r="D23" s="117"/>
      <c r="E23" s="117"/>
      <c r="F23" s="117"/>
      <c r="G23" s="118">
        <f t="shared" si="0"/>
        <v>0</v>
      </c>
    </row>
    <row r="24" spans="1:7" x14ac:dyDescent="0.2">
      <c r="A24" s="384" t="s">
        <v>346</v>
      </c>
      <c r="B24" s="117"/>
      <c r="C24" s="117"/>
      <c r="D24" s="117"/>
      <c r="E24" s="117"/>
      <c r="F24" s="117"/>
      <c r="G24" s="118">
        <f t="shared" si="0"/>
        <v>0</v>
      </c>
    </row>
    <row r="25" spans="1:7" x14ac:dyDescent="0.2">
      <c r="A25" s="384"/>
      <c r="B25" s="117"/>
      <c r="C25" s="117"/>
      <c r="D25" s="117"/>
      <c r="E25" s="117"/>
      <c r="F25" s="117"/>
      <c r="G25" s="118">
        <f t="shared" si="0"/>
        <v>0</v>
      </c>
    </row>
    <row r="26" spans="1:7" x14ac:dyDescent="0.2">
      <c r="A26" s="384"/>
      <c r="B26" s="117"/>
      <c r="C26" s="117"/>
      <c r="D26" s="117"/>
      <c r="E26" s="117"/>
      <c r="F26" s="117"/>
      <c r="G26" s="118">
        <f t="shared" si="0"/>
        <v>0</v>
      </c>
    </row>
    <row r="27" spans="1:7" x14ac:dyDescent="0.2">
      <c r="A27" s="384"/>
      <c r="B27" s="117"/>
      <c r="C27" s="117"/>
      <c r="D27" s="117"/>
      <c r="E27" s="117"/>
      <c r="F27" s="117"/>
      <c r="G27" s="118">
        <f t="shared" si="0"/>
        <v>0</v>
      </c>
    </row>
    <row r="28" spans="1:7" x14ac:dyDescent="0.2">
      <c r="A28" s="384"/>
      <c r="B28" s="117"/>
      <c r="C28" s="117"/>
      <c r="D28" s="117"/>
      <c r="E28" s="117"/>
      <c r="F28" s="117"/>
      <c r="G28" s="118">
        <f t="shared" si="0"/>
        <v>0</v>
      </c>
    </row>
    <row r="29" spans="1:7" x14ac:dyDescent="0.2">
      <c r="A29" s="384" t="s">
        <v>347</v>
      </c>
      <c r="B29" s="117"/>
      <c r="C29" s="117"/>
      <c r="D29" s="117"/>
      <c r="E29" s="117"/>
      <c r="F29" s="117"/>
      <c r="G29" s="118">
        <f t="shared" si="0"/>
        <v>0</v>
      </c>
    </row>
    <row r="30" spans="1:7" x14ac:dyDescent="0.2">
      <c r="A30" s="384"/>
      <c r="B30" s="117"/>
      <c r="C30" s="117"/>
      <c r="D30" s="117"/>
      <c r="E30" s="117"/>
      <c r="F30" s="117"/>
      <c r="G30" s="118">
        <f t="shared" si="0"/>
        <v>0</v>
      </c>
    </row>
    <row r="31" spans="1:7" x14ac:dyDescent="0.2">
      <c r="A31" s="384"/>
      <c r="B31" s="117"/>
      <c r="C31" s="117"/>
      <c r="D31" s="117"/>
      <c r="E31" s="117"/>
      <c r="F31" s="117"/>
      <c r="G31" s="118">
        <f t="shared" si="0"/>
        <v>0</v>
      </c>
    </row>
    <row r="32" spans="1:7" x14ac:dyDescent="0.2">
      <c r="A32" s="384"/>
      <c r="B32" s="117"/>
      <c r="C32" s="117"/>
      <c r="D32" s="117"/>
      <c r="E32" s="117"/>
      <c r="F32" s="117"/>
      <c r="G32" s="118">
        <f t="shared" si="0"/>
        <v>0</v>
      </c>
    </row>
    <row r="33" spans="1:7" x14ac:dyDescent="0.2">
      <c r="A33" s="384"/>
      <c r="B33" s="117"/>
      <c r="C33" s="117"/>
      <c r="D33" s="117"/>
      <c r="E33" s="117"/>
      <c r="F33" s="117"/>
      <c r="G33" s="118">
        <f t="shared" si="0"/>
        <v>0</v>
      </c>
    </row>
    <row r="34" spans="1:7" x14ac:dyDescent="0.2">
      <c r="A34" s="384" t="s">
        <v>348</v>
      </c>
      <c r="B34" s="117"/>
      <c r="C34" s="117"/>
      <c r="D34" s="117"/>
      <c r="E34" s="117"/>
      <c r="F34" s="117"/>
      <c r="G34" s="118">
        <f t="shared" si="0"/>
        <v>0</v>
      </c>
    </row>
    <row r="35" spans="1:7" x14ac:dyDescent="0.2">
      <c r="A35" s="384"/>
      <c r="B35" s="117"/>
      <c r="C35" s="117"/>
      <c r="D35" s="117"/>
      <c r="E35" s="117"/>
      <c r="F35" s="117"/>
      <c r="G35" s="118">
        <f t="shared" si="0"/>
        <v>0</v>
      </c>
    </row>
    <row r="36" spans="1:7" x14ac:dyDescent="0.2">
      <c r="A36" s="384"/>
      <c r="B36" s="117"/>
      <c r="C36" s="117"/>
      <c r="D36" s="117"/>
      <c r="E36" s="117"/>
      <c r="F36" s="117"/>
      <c r="G36" s="118">
        <f t="shared" si="0"/>
        <v>0</v>
      </c>
    </row>
    <row r="37" spans="1:7" x14ac:dyDescent="0.2">
      <c r="A37" s="384"/>
      <c r="B37" s="117"/>
      <c r="C37" s="117"/>
      <c r="D37" s="117"/>
      <c r="E37" s="117"/>
      <c r="F37" s="117"/>
      <c r="G37" s="118">
        <f t="shared" si="0"/>
        <v>0</v>
      </c>
    </row>
    <row r="38" spans="1:7" x14ac:dyDescent="0.2">
      <c r="A38" s="384"/>
      <c r="B38" s="117"/>
      <c r="C38" s="117"/>
      <c r="D38" s="117"/>
      <c r="E38" s="117"/>
      <c r="F38" s="117"/>
      <c r="G38" s="118">
        <f t="shared" si="0"/>
        <v>0</v>
      </c>
    </row>
    <row r="39" spans="1:7" x14ac:dyDescent="0.2">
      <c r="A39" s="384" t="s">
        <v>349</v>
      </c>
      <c r="B39" s="117"/>
      <c r="C39" s="117"/>
      <c r="D39" s="117"/>
      <c r="E39" s="117"/>
      <c r="F39" s="117"/>
      <c r="G39" s="118">
        <f t="shared" si="0"/>
        <v>0</v>
      </c>
    </row>
    <row r="40" spans="1:7" x14ac:dyDescent="0.2">
      <c r="A40" s="384"/>
      <c r="B40" s="117"/>
      <c r="C40" s="117"/>
      <c r="D40" s="117"/>
      <c r="E40" s="117"/>
      <c r="F40" s="117"/>
      <c r="G40" s="118">
        <f t="shared" si="0"/>
        <v>0</v>
      </c>
    </row>
    <row r="41" spans="1:7" x14ac:dyDescent="0.2">
      <c r="A41" s="384"/>
      <c r="B41" s="117"/>
      <c r="C41" s="117"/>
      <c r="D41" s="117"/>
      <c r="E41" s="117"/>
      <c r="F41" s="117"/>
      <c r="G41" s="118">
        <f t="shared" si="0"/>
        <v>0</v>
      </c>
    </row>
    <row r="42" spans="1:7" x14ac:dyDescent="0.2">
      <c r="A42" s="384"/>
      <c r="B42" s="117"/>
      <c r="C42" s="117"/>
      <c r="D42" s="117"/>
      <c r="E42" s="117"/>
      <c r="F42" s="117"/>
      <c r="G42" s="118">
        <f t="shared" si="0"/>
        <v>0</v>
      </c>
    </row>
    <row r="43" spans="1:7" x14ac:dyDescent="0.2">
      <c r="A43" s="384"/>
      <c r="B43" s="117"/>
      <c r="C43" s="117"/>
      <c r="D43" s="117"/>
      <c r="E43" s="117"/>
      <c r="F43" s="117"/>
      <c r="G43" s="118">
        <f t="shared" si="0"/>
        <v>0</v>
      </c>
    </row>
    <row r="44" spans="1:7" ht="15" x14ac:dyDescent="0.25">
      <c r="A44" s="381" t="s">
        <v>350</v>
      </c>
      <c r="B44" s="382"/>
      <c r="C44" s="382"/>
      <c r="D44" s="383"/>
      <c r="E44" s="118">
        <f>SUM(E14:E43)</f>
        <v>0</v>
      </c>
      <c r="F44" s="118">
        <f>SUM(F14:F43)</f>
        <v>0</v>
      </c>
      <c r="G44" s="118">
        <f>SUM(G14:G43)</f>
        <v>0</v>
      </c>
    </row>
  </sheetData>
  <sheetProtection algorithmName="SHA-512" hashValue="jkb3A8oqh4dMLZxruIGrgdV46+SLDLeD9nA7cU1aL5sQONCjS/46b3grKlUSecP6u3EQkkA8zXwInN2UWulBBw==" saltValue="K/IfCJZBSrPOUEt73GDfqQ==" spinCount="100000" sheet="1" objects="1" scenarios="1"/>
  <mergeCells count="7">
    <mergeCell ref="A44:D44"/>
    <mergeCell ref="A14:A18"/>
    <mergeCell ref="A19:A23"/>
    <mergeCell ref="A24:A28"/>
    <mergeCell ref="A29:A33"/>
    <mergeCell ref="A34:A38"/>
    <mergeCell ref="A39:A43"/>
  </mergeCells>
  <pageMargins left="0.7" right="0.7" top="0.75" bottom="0.75" header="0.3" footer="0.3"/>
  <pageSetup paperSize="9" scale="7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1"/>
  <sheetViews>
    <sheetView rightToLeft="1" zoomScale="75" zoomScaleNormal="75" workbookViewId="0">
      <selection activeCell="T7" sqref="T7"/>
    </sheetView>
  </sheetViews>
  <sheetFormatPr defaultRowHeight="15" x14ac:dyDescent="0.25"/>
  <cols>
    <col min="1" max="1" width="5" style="69" customWidth="1"/>
    <col min="2" max="2" width="53.5" style="69" customWidth="1"/>
    <col min="3" max="3" width="13.25" style="134" bestFit="1" customWidth="1"/>
    <col min="4" max="4" width="13" style="69" customWidth="1"/>
    <col min="5" max="5" width="12.625" style="69" customWidth="1"/>
    <col min="6" max="6" width="2.875" style="69" customWidth="1"/>
    <col min="7" max="7" width="7.625" style="69" customWidth="1"/>
    <col min="8" max="8" width="16.25" style="69" customWidth="1"/>
    <col min="9" max="9" width="20.625" style="69" customWidth="1"/>
    <col min="10" max="10" width="2.875" style="69" customWidth="1"/>
    <col min="11" max="12" width="7.625" style="69" customWidth="1"/>
    <col min="13" max="13" width="12.625" style="69" customWidth="1"/>
    <col min="14" max="14" width="20.625" style="69" customWidth="1"/>
    <col min="15" max="15" width="2.875" style="69" customWidth="1"/>
    <col min="16" max="16" width="9" style="69"/>
    <col min="17" max="18" width="7.625" style="69" customWidth="1"/>
    <col min="19" max="19" width="12.625" style="69" customWidth="1"/>
    <col min="20" max="20" width="20.625" style="69" customWidth="1"/>
    <col min="21" max="16384" width="9" style="69"/>
  </cols>
  <sheetData>
    <row r="2" spans="2:20" ht="20.25" x14ac:dyDescent="0.3">
      <c r="B2" s="130" t="s">
        <v>389</v>
      </c>
      <c r="D2" s="71" t="s">
        <v>303</v>
      </c>
      <c r="E2" s="72"/>
      <c r="F2" s="72"/>
      <c r="G2" s="72"/>
      <c r="H2" s="72"/>
    </row>
    <row r="3" spans="2:20" ht="20.25" x14ac:dyDescent="0.3">
      <c r="B3" s="70" t="s">
        <v>305</v>
      </c>
    </row>
    <row r="4" spans="2:20" ht="15.75" thickBot="1" x14ac:dyDescent="0.3"/>
    <row r="5" spans="2:20" s="73" customFormat="1" ht="15.75" x14ac:dyDescent="0.25">
      <c r="B5" s="386" t="s">
        <v>299</v>
      </c>
      <c r="C5" s="387"/>
      <c r="D5" s="387"/>
      <c r="E5" s="387"/>
      <c r="F5" s="295"/>
      <c r="G5" s="388" t="s">
        <v>312</v>
      </c>
      <c r="H5" s="388"/>
      <c r="I5" s="388"/>
      <c r="J5" s="295"/>
      <c r="K5" s="388" t="s">
        <v>112</v>
      </c>
      <c r="L5" s="388"/>
      <c r="M5" s="388"/>
      <c r="N5" s="388"/>
      <c r="O5" s="295"/>
      <c r="P5" s="388" t="s">
        <v>411</v>
      </c>
      <c r="Q5" s="388"/>
      <c r="R5" s="388"/>
      <c r="S5" s="388"/>
      <c r="T5" s="389"/>
    </row>
    <row r="6" spans="2:20" s="73" customFormat="1" ht="66" customHeight="1" x14ac:dyDescent="0.25">
      <c r="B6" s="51" t="s">
        <v>180</v>
      </c>
      <c r="C6" s="52" t="s">
        <v>11</v>
      </c>
      <c r="D6" s="52" t="s">
        <v>187</v>
      </c>
      <c r="E6" s="52" t="s">
        <v>225</v>
      </c>
      <c r="G6" s="52" t="s">
        <v>311</v>
      </c>
      <c r="H6" s="52" t="s">
        <v>313</v>
      </c>
      <c r="I6" s="52" t="s">
        <v>103</v>
      </c>
      <c r="K6" s="52" t="s">
        <v>102</v>
      </c>
      <c r="L6" s="52" t="s">
        <v>104</v>
      </c>
      <c r="M6" s="63" t="s">
        <v>413</v>
      </c>
      <c r="N6" s="52" t="s">
        <v>103</v>
      </c>
      <c r="P6" s="52" t="s">
        <v>122</v>
      </c>
      <c r="Q6" s="52" t="s">
        <v>113</v>
      </c>
      <c r="R6" s="63" t="s">
        <v>104</v>
      </c>
      <c r="S6" s="63" t="s">
        <v>321</v>
      </c>
      <c r="T6" s="62" t="s">
        <v>103</v>
      </c>
    </row>
    <row r="7" spans="2:20" s="73" customFormat="1" ht="15.75" x14ac:dyDescent="0.25">
      <c r="B7" s="86" t="s">
        <v>181</v>
      </c>
      <c r="C7" s="144">
        <v>2</v>
      </c>
      <c r="D7" s="131">
        <v>550</v>
      </c>
      <c r="E7" s="77">
        <f>D7*C7</f>
        <v>1100</v>
      </c>
      <c r="G7" s="64"/>
      <c r="H7" s="74"/>
      <c r="I7" s="75"/>
      <c r="K7" s="64"/>
      <c r="L7" s="65" t="str">
        <f>IFERROR(IF(K7=0,"",IF(OR(K7-C7&gt;0,K7-C7&lt;0), (K7-C7)/C7, "")), "")</f>
        <v/>
      </c>
      <c r="M7" s="85">
        <f>K7*D7</f>
        <v>0</v>
      </c>
      <c r="N7" s="75"/>
      <c r="P7" s="66" t="s">
        <v>126</v>
      </c>
      <c r="Q7" s="296">
        <f>K7</f>
        <v>0</v>
      </c>
      <c r="R7" s="65" t="str">
        <f>IFERROR(IF(Q7=0,"",IF(OR(Q7-C7&gt;0,Q7-C7&lt;0), (Q7-C7)/C7, "")), "")</f>
        <v/>
      </c>
      <c r="S7" s="85">
        <f>Q7*D7</f>
        <v>0</v>
      </c>
      <c r="T7" s="76"/>
    </row>
    <row r="8" spans="2:20" s="73" customFormat="1" ht="15.75" x14ac:dyDescent="0.25">
      <c r="B8" s="86" t="s">
        <v>182</v>
      </c>
      <c r="C8" s="144">
        <v>6</v>
      </c>
      <c r="D8" s="131">
        <v>700</v>
      </c>
      <c r="E8" s="77">
        <f t="shared" ref="E8:E14" si="0">D8*C8</f>
        <v>4200</v>
      </c>
      <c r="G8" s="64"/>
      <c r="H8" s="74"/>
      <c r="I8" s="75"/>
      <c r="K8" s="64"/>
      <c r="L8" s="65" t="str">
        <f t="shared" ref="L8:L14" si="1">IFERROR(IF(K8=0,"",IF(OR(K8-C8&gt;0,K8-C8&lt;0), (K8-C8)/C8, "")), "")</f>
        <v/>
      </c>
      <c r="M8" s="85">
        <f t="shared" ref="M8:M14" si="2">K8*D8</f>
        <v>0</v>
      </c>
      <c r="N8" s="75"/>
      <c r="P8" s="66" t="s">
        <v>126</v>
      </c>
      <c r="Q8" s="296">
        <f t="shared" ref="Q8:Q14" si="3">K8</f>
        <v>0</v>
      </c>
      <c r="R8" s="65" t="str">
        <f t="shared" ref="R8:R14" si="4">IFERROR(IF(Q8=0,"",IF(OR(Q8-C8&gt;0,Q8-C8&lt;0), (Q8-C8)/C8, "")), "")</f>
        <v/>
      </c>
      <c r="S8" s="85">
        <f t="shared" ref="S8:S13" si="5">Q8*D8</f>
        <v>0</v>
      </c>
      <c r="T8" s="76"/>
    </row>
    <row r="9" spans="2:20" s="73" customFormat="1" ht="15.75" x14ac:dyDescent="0.25">
      <c r="B9" s="87" t="s">
        <v>409</v>
      </c>
      <c r="C9" s="144">
        <v>3</v>
      </c>
      <c r="D9" s="131">
        <v>250</v>
      </c>
      <c r="E9" s="77">
        <f t="shared" si="0"/>
        <v>750</v>
      </c>
      <c r="G9" s="64"/>
      <c r="H9" s="74"/>
      <c r="I9" s="75"/>
      <c r="K9" s="64"/>
      <c r="L9" s="65" t="str">
        <f t="shared" si="1"/>
        <v/>
      </c>
      <c r="M9" s="85">
        <f t="shared" si="2"/>
        <v>0</v>
      </c>
      <c r="N9" s="75"/>
      <c r="P9" s="66" t="s">
        <v>126</v>
      </c>
      <c r="Q9" s="296">
        <f t="shared" si="3"/>
        <v>0</v>
      </c>
      <c r="R9" s="65" t="str">
        <f t="shared" si="4"/>
        <v/>
      </c>
      <c r="S9" s="85">
        <f t="shared" si="5"/>
        <v>0</v>
      </c>
      <c r="T9" s="76"/>
    </row>
    <row r="10" spans="2:20" s="73" customFormat="1" ht="15.75" x14ac:dyDescent="0.25">
      <c r="B10" s="86" t="s">
        <v>183</v>
      </c>
      <c r="C10" s="144">
        <v>4</v>
      </c>
      <c r="D10" s="131">
        <v>450</v>
      </c>
      <c r="E10" s="77">
        <f t="shared" si="0"/>
        <v>1800</v>
      </c>
      <c r="G10" s="64"/>
      <c r="H10" s="74"/>
      <c r="I10" s="75"/>
      <c r="K10" s="64"/>
      <c r="L10" s="65" t="str">
        <f t="shared" si="1"/>
        <v/>
      </c>
      <c r="M10" s="85">
        <f t="shared" si="2"/>
        <v>0</v>
      </c>
      <c r="N10" s="75"/>
      <c r="P10" s="66" t="s">
        <v>126</v>
      </c>
      <c r="Q10" s="296">
        <f t="shared" si="3"/>
        <v>0</v>
      </c>
      <c r="R10" s="65" t="str">
        <f t="shared" si="4"/>
        <v/>
      </c>
      <c r="S10" s="85">
        <f t="shared" si="5"/>
        <v>0</v>
      </c>
      <c r="T10" s="76"/>
    </row>
    <row r="11" spans="2:20" s="73" customFormat="1" ht="15.75" x14ac:dyDescent="0.25">
      <c r="B11" s="87" t="s">
        <v>184</v>
      </c>
      <c r="C11" s="144">
        <v>3</v>
      </c>
      <c r="D11" s="131">
        <v>300</v>
      </c>
      <c r="E11" s="77">
        <f t="shared" si="0"/>
        <v>900</v>
      </c>
      <c r="G11" s="64"/>
      <c r="H11" s="74"/>
      <c r="I11" s="75"/>
      <c r="K11" s="64"/>
      <c r="L11" s="65" t="str">
        <f t="shared" si="1"/>
        <v/>
      </c>
      <c r="M11" s="85">
        <f t="shared" si="2"/>
        <v>0</v>
      </c>
      <c r="N11" s="75"/>
      <c r="P11" s="66" t="s">
        <v>126</v>
      </c>
      <c r="Q11" s="296">
        <f t="shared" si="3"/>
        <v>0</v>
      </c>
      <c r="R11" s="65" t="str">
        <f t="shared" si="4"/>
        <v/>
      </c>
      <c r="S11" s="85">
        <f t="shared" si="5"/>
        <v>0</v>
      </c>
      <c r="T11" s="76"/>
    </row>
    <row r="12" spans="2:20" s="73" customFormat="1" ht="15.75" x14ac:dyDescent="0.25">
      <c r="B12" s="86" t="s">
        <v>185</v>
      </c>
      <c r="C12" s="144">
        <v>8</v>
      </c>
      <c r="D12" s="131">
        <v>120</v>
      </c>
      <c r="E12" s="77">
        <f t="shared" si="0"/>
        <v>960</v>
      </c>
      <c r="G12" s="64"/>
      <c r="H12" s="74"/>
      <c r="I12" s="75"/>
      <c r="K12" s="64"/>
      <c r="L12" s="65" t="str">
        <f t="shared" si="1"/>
        <v/>
      </c>
      <c r="M12" s="85">
        <f t="shared" si="2"/>
        <v>0</v>
      </c>
      <c r="N12" s="75"/>
      <c r="P12" s="66" t="s">
        <v>126</v>
      </c>
      <c r="Q12" s="296">
        <f t="shared" si="3"/>
        <v>0</v>
      </c>
      <c r="R12" s="65" t="str">
        <f t="shared" si="4"/>
        <v/>
      </c>
      <c r="S12" s="85">
        <f t="shared" si="5"/>
        <v>0</v>
      </c>
      <c r="T12" s="76"/>
    </row>
    <row r="13" spans="2:20" s="73" customFormat="1" ht="15.75" x14ac:dyDescent="0.25">
      <c r="B13" s="86" t="s">
        <v>186</v>
      </c>
      <c r="C13" s="144">
        <v>2</v>
      </c>
      <c r="D13" s="131">
        <v>250</v>
      </c>
      <c r="E13" s="77">
        <f t="shared" si="0"/>
        <v>500</v>
      </c>
      <c r="G13" s="64"/>
      <c r="H13" s="74"/>
      <c r="I13" s="75"/>
      <c r="K13" s="64"/>
      <c r="L13" s="65" t="str">
        <f t="shared" si="1"/>
        <v/>
      </c>
      <c r="M13" s="85">
        <f t="shared" si="2"/>
        <v>0</v>
      </c>
      <c r="N13" s="75"/>
      <c r="P13" s="66" t="s">
        <v>126</v>
      </c>
      <c r="Q13" s="296">
        <f t="shared" si="3"/>
        <v>0</v>
      </c>
      <c r="R13" s="65" t="str">
        <f t="shared" si="4"/>
        <v/>
      </c>
      <c r="S13" s="85">
        <f t="shared" si="5"/>
        <v>0</v>
      </c>
      <c r="T13" s="76"/>
    </row>
    <row r="14" spans="2:20" s="73" customFormat="1" ht="15.75" x14ac:dyDescent="0.25">
      <c r="B14" s="87" t="s">
        <v>300</v>
      </c>
      <c r="C14" s="144">
        <v>5</v>
      </c>
      <c r="D14" s="131">
        <v>80</v>
      </c>
      <c r="E14" s="77">
        <f t="shared" si="0"/>
        <v>400</v>
      </c>
      <c r="G14" s="64"/>
      <c r="H14" s="74"/>
      <c r="I14" s="75"/>
      <c r="K14" s="64"/>
      <c r="L14" s="65" t="str">
        <f t="shared" si="1"/>
        <v/>
      </c>
      <c r="M14" s="85">
        <f t="shared" si="2"/>
        <v>0</v>
      </c>
      <c r="N14" s="75"/>
      <c r="P14" s="66" t="s">
        <v>126</v>
      </c>
      <c r="Q14" s="296">
        <f t="shared" si="3"/>
        <v>0</v>
      </c>
      <c r="R14" s="65" t="str">
        <f t="shared" si="4"/>
        <v/>
      </c>
      <c r="S14" s="85">
        <f>Q14*D14</f>
        <v>0</v>
      </c>
      <c r="T14" s="76"/>
    </row>
    <row r="15" spans="2:20" s="73" customFormat="1" ht="16.5" thickBot="1" x14ac:dyDescent="0.3">
      <c r="B15" s="390" t="s">
        <v>106</v>
      </c>
      <c r="C15" s="391"/>
      <c r="D15" s="392"/>
      <c r="E15" s="78">
        <f>SUM(E7:E14)</f>
        <v>10610</v>
      </c>
      <c r="F15" s="81"/>
      <c r="G15" s="82"/>
      <c r="H15" s="82"/>
      <c r="I15" s="82"/>
      <c r="J15" s="81"/>
      <c r="K15" s="82"/>
      <c r="L15" s="82"/>
      <c r="M15" s="297">
        <f>SUM(M7:M14)</f>
        <v>0</v>
      </c>
      <c r="N15" s="82"/>
      <c r="O15" s="81"/>
      <c r="P15" s="82"/>
      <c r="Q15" s="82"/>
      <c r="R15" s="83"/>
      <c r="S15" s="297">
        <f>SUM(S7:S14)</f>
        <v>0</v>
      </c>
      <c r="T15" s="84"/>
    </row>
    <row r="16" spans="2:20" s="73" customFormat="1" ht="15.75" x14ac:dyDescent="0.25">
      <c r="C16" s="163"/>
    </row>
    <row r="18" spans="2:3" ht="18.75" x14ac:dyDescent="0.3">
      <c r="B18" s="385" t="s">
        <v>307</v>
      </c>
      <c r="C18" s="385"/>
    </row>
    <row r="19" spans="2:3" ht="18.75" x14ac:dyDescent="0.25">
      <c r="B19" s="67" t="s">
        <v>151</v>
      </c>
      <c r="C19" s="67" t="s">
        <v>106</v>
      </c>
    </row>
    <row r="20" spans="2:3" ht="18.75" x14ac:dyDescent="0.3">
      <c r="B20" s="88" t="s">
        <v>306</v>
      </c>
      <c r="C20" s="147">
        <f>'ריהוט, אחסנה, חצר והצללה'!H16</f>
        <v>0</v>
      </c>
    </row>
    <row r="21" spans="2:3" ht="18.75" x14ac:dyDescent="0.3">
      <c r="B21" s="88" t="s">
        <v>168</v>
      </c>
      <c r="C21" s="147">
        <f>'ריהוט, אחסנה, חצר והצללה'!H23</f>
        <v>0</v>
      </c>
    </row>
    <row r="22" spans="2:3" ht="18.75" x14ac:dyDescent="0.3">
      <c r="B22" s="88" t="s">
        <v>198</v>
      </c>
      <c r="C22" s="147">
        <f>'ריהוט, אחסנה, חצר והצללה'!H33</f>
        <v>5565</v>
      </c>
    </row>
    <row r="23" spans="2:3" ht="18.75" x14ac:dyDescent="0.3">
      <c r="B23" s="88" t="s">
        <v>204</v>
      </c>
      <c r="C23" s="147">
        <f>'ריהוט, אחסנה, חצר והצללה'!H45</f>
        <v>0</v>
      </c>
    </row>
    <row r="24" spans="2:3" ht="18.75" customHeight="1" x14ac:dyDescent="0.3">
      <c r="B24" s="88" t="s">
        <v>165</v>
      </c>
      <c r="C24" s="147">
        <f>'שינוע, מכונות מטבח ושונות'!G13</f>
        <v>170268</v>
      </c>
    </row>
    <row r="25" spans="2:3" ht="18.75" x14ac:dyDescent="0.3">
      <c r="B25" s="88" t="s">
        <v>172</v>
      </c>
      <c r="C25" s="147">
        <f>'שינוע, מכונות מטבח ושונות'!G24</f>
        <v>65152.92</v>
      </c>
    </row>
    <row r="26" spans="2:3" ht="18.75" x14ac:dyDescent="0.3">
      <c r="B26" s="88" t="s">
        <v>189</v>
      </c>
      <c r="C26" s="147">
        <f>'שינוע, מכונות מטבח ושונות'!G38</f>
        <v>82909.427999999985</v>
      </c>
    </row>
    <row r="27" spans="2:3" ht="18.75" x14ac:dyDescent="0.3">
      <c r="B27" s="88" t="s">
        <v>208</v>
      </c>
      <c r="C27" s="147">
        <f>'שינוע, מכונות מטבח ושונות'!G73</f>
        <v>134280.47949999999</v>
      </c>
    </row>
    <row r="28" spans="2:3" ht="18.75" x14ac:dyDescent="0.3">
      <c r="B28" s="88" t="s">
        <v>309</v>
      </c>
      <c r="C28" s="147">
        <f>E15</f>
        <v>10610</v>
      </c>
    </row>
    <row r="29" spans="2:3" ht="18.75" x14ac:dyDescent="0.25">
      <c r="B29" s="67" t="s">
        <v>222</v>
      </c>
      <c r="C29" s="68">
        <f>SUM(C20:C28)</f>
        <v>468785.82750000001</v>
      </c>
    </row>
    <row r="30" spans="2:3" ht="31.5" customHeight="1" x14ac:dyDescent="0.25">
      <c r="B30" s="89"/>
    </row>
    <row r="45" ht="16.5" customHeight="1" x14ac:dyDescent="0.25"/>
    <row r="47" ht="14.25" customHeight="1" x14ac:dyDescent="0.25"/>
    <row r="48" ht="14.25" customHeight="1" x14ac:dyDescent="0.25"/>
    <row r="51" ht="18.75" customHeight="1" x14ac:dyDescent="0.25"/>
  </sheetData>
  <sheetProtection algorithmName="SHA-512" hashValue="OKyE1f47enKct9g6lEczS14v0gp+GPF8qajHeo8ADLweJoeuyI8UTtLzzQkeezQsTec8JhLZhCiJBrm9raPQyA==" saltValue="t5TtAaCL+zA2+j5HNKl0NA==" spinCount="100000" sheet="1" formatCells="0" formatColumns="0" formatRows="0"/>
  <mergeCells count="6">
    <mergeCell ref="B18:C18"/>
    <mergeCell ref="B5:E5"/>
    <mergeCell ref="K5:N5"/>
    <mergeCell ref="P5:T5"/>
    <mergeCell ref="B15:D15"/>
    <mergeCell ref="G5:I5"/>
  </mergeCells>
  <conditionalFormatting sqref="L7:L14">
    <cfRule type="cellIs" dxfId="9" priority="13" operator="lessThan">
      <formula>0</formula>
    </cfRule>
    <cfRule type="cellIs" dxfId="8" priority="14" operator="greaterThan">
      <formula>0.01</formula>
    </cfRule>
  </conditionalFormatting>
  <conditionalFormatting sqref="R7:S7">
    <cfRule type="cellIs" dxfId="7" priority="11" operator="lessThan">
      <formula>0</formula>
    </cfRule>
    <cfRule type="cellIs" dxfId="6" priority="12" operator="greaterThan">
      <formula>0.01</formula>
    </cfRule>
  </conditionalFormatting>
  <conditionalFormatting sqref="R8:R14">
    <cfRule type="cellIs" dxfId="5" priority="9" operator="lessThan">
      <formula>0</formula>
    </cfRule>
    <cfRule type="cellIs" dxfId="4" priority="10" operator="greaterThan">
      <formula>0.01</formula>
    </cfRule>
  </conditionalFormatting>
  <conditionalFormatting sqref="S8:S14">
    <cfRule type="cellIs" dxfId="3" priority="5" operator="lessThan">
      <formula>0</formula>
    </cfRule>
    <cfRule type="cellIs" dxfId="2" priority="6" operator="greaterThan">
      <formula>0.01</formula>
    </cfRule>
  </conditionalFormatting>
  <conditionalFormatting sqref="M7:M14">
    <cfRule type="cellIs" dxfId="1" priority="3" operator="lessThan">
      <formula>0</formula>
    </cfRule>
    <cfRule type="cellIs" dxfId="0" priority="4" operator="greaterThan">
      <formula>0.01</formula>
    </cfRule>
  </conditionalFormatting>
  <dataValidations count="2">
    <dataValidation type="list" allowBlank="1" showInputMessage="1" showErrorMessage="1" sqref="P7:P14">
      <formula1>"מאשר, מאשר חלקי, לא מאשר"</formula1>
    </dataValidation>
    <dataValidation type="list" allowBlank="1" showInputMessage="1" showErrorMessage="1" sqref="H7:H14">
      <formula1>"שמיש-אך נדרש עוד, בלוי-נדרש להחליף"</formula1>
    </dataValidation>
  </dataValidations>
  <pageMargins left="0.7" right="0.7" top="0.75" bottom="0.75" header="0.3" footer="0.3"/>
  <pageSetup paperSize="9" scale="38" orientation="portrait" r:id="rId1"/>
  <ignoredErrors>
    <ignoredError sqref="Q7:Q1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74E3F86D58734C7AA1EEF000005FC8B6" ma:contentTypeVersion="1" ma:contentTypeDescription="צור מסמך חדש." ma:contentTypeScope="" ma:versionID="ae5ff37499b070873e287761911273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8da46b6ae811ef844734bd8bf08ae2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24F7808-8D2B-4754-8F9B-35B9518FD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15726D-09B3-4760-8276-2D565A8078D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</vt:i4>
      </vt:variant>
      <vt:variant>
        <vt:lpstr>טווחים בעלי שם</vt:lpstr>
      </vt:variant>
      <vt:variant>
        <vt:i4>5</vt:i4>
      </vt:variant>
    </vt:vector>
  </HeadingPairs>
  <TitlesOfParts>
    <vt:vector size="15" baseType="lpstr">
      <vt:lpstr>נוסחאות</vt:lpstr>
      <vt:lpstr>הסבר תקן</vt:lpstr>
      <vt:lpstr>נספח</vt:lpstr>
      <vt:lpstr>שאלון למילוי הגוף-חובה</vt:lpstr>
      <vt:lpstr>ריהוט, אחסנה, חצר והצללה</vt:lpstr>
      <vt:lpstr>שינוע, מכונות מטבח ושונות</vt:lpstr>
      <vt:lpstr>טבלאות עזר לחישוב</vt:lpstr>
      <vt:lpstr>טבלת ציוד יעודי</vt:lpstr>
      <vt:lpstr>כלי עבודה+ סיכום תקן</vt:lpstr>
      <vt:lpstr>פורמט לועדה- סיכום</vt:lpstr>
      <vt:lpstr>'הסבר תקן'!WPrint_Area_W</vt:lpstr>
      <vt:lpstr>'כלי עבודה+ סיכום תקן'!WPrint_Area_W</vt:lpstr>
      <vt:lpstr>'פורמט לועדה- סיכום'!WPrint_Area_W</vt:lpstr>
      <vt:lpstr>'ריהוט, אחסנה, חצר והצללה'!WPrint_Area_W</vt:lpstr>
      <vt:lpstr>'שינוע, מכונות מטבח ושונות'!WPrint_Area_W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orit</dc:creator>
  <cp:lastModifiedBy>אור פדלון</cp:lastModifiedBy>
  <cp:lastPrinted>2022-10-13T09:27:40Z</cp:lastPrinted>
  <dcterms:created xsi:type="dcterms:W3CDTF">2018-03-26T06:46:28Z</dcterms:created>
  <dcterms:modified xsi:type="dcterms:W3CDTF">2022-12-07T06:58:24Z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0x01010074E3F86D58734C7AA1EEF000005FC8B6</vt:lpwstr>
  </property>
  <property fmtid="{D5CDD505-2E9C-101B-9397-08002B2CF9AE}" pid="4" name="Order">
    <vt:r8>9000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