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alcChain.xml" ContentType="application/vnd.openxmlformats-officedocument.spreadsheetml.calcChai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Types>
</file>

<file path=_rels/.rels>&#65279;<?xml version="1.0" encoding="utf-8" standalone="yes"?>
<Relationships xmlns="http://schemas.openxmlformats.org/package/2006/relationships"><Relationship Id="rId3" Type="http://schemas.openxmlformats.org/package/2006/relationships/metadata/core-properties" Target="docProps/core.xml" /><Relationship Id="rId1" Type="http://schemas.openxmlformats.org/officeDocument/2006/relationships/officeDocument" Target="xl/workbook.xml" /><Relationship Id="rId5" Type="http://schemas.openxmlformats.org/officeDocument/2006/relationships/custom-properties" Target="docProps/custom.xml" /><Relationship Id="rId4"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ioifs1\FolderRedirect\avitalge\Desktop\דיור בקהילה 2027\"/>
    </mc:Choice>
  </mc:AlternateContent>
  <bookViews>
    <workbookView xWindow="0" yWindow="0" windowWidth="23010" windowHeight="9060" tabRatio="782" firstSheet="3" activeTab="11"/>
  </bookViews>
  <sheets>
    <sheet name="פירוט הסתרות" sheetId="21" state="hidden" r:id="rId1"/>
    <sheet name="נוסחאות" sheetId="1" state="hidden" r:id="rId2"/>
    <sheet name="פתיח " sheetId="3" r:id="rId3"/>
    <sheet name="תוכן עניינים" sheetId="20" r:id="rId4"/>
    <sheet name="שאלון למילוי הגוף-חובה" sheetId="12" r:id="rId5"/>
    <sheet name="חדרי שינה" sheetId="6" r:id="rId6"/>
    <sheet name="דירה קהילתית-חללים משותפים " sheetId="2" r:id="rId7"/>
    <sheet name="בית שיתופי-חללים משותפים" sheetId="4" r:id="rId8"/>
    <sheet name="בית שיתופי-סלון ומטבחון נוספים" sheetId="19" r:id="rId9"/>
    <sheet name="ציוד מיוחד" sheetId="18" r:id="rId10"/>
    <sheet name="ציוד מתקנים אחרים" sheetId="14" r:id="rId11"/>
    <sheet name="ציוד נוסף" sheetId="13" r:id="rId12"/>
    <sheet name="סיכום לוועדה" sheetId="11" r:id="rId13"/>
  </sheets>
  <definedNames>
    <definedName name="_xlnm._FilterDatabase" localSheetId="1" hidden="1">נוסחאות!$A$3:$U$61</definedName>
    <definedName name="BedroomType" localSheetId="7">#REF!</definedName>
    <definedName name="BedroomType" localSheetId="8">#REF!</definedName>
    <definedName name="BedroomType" localSheetId="0">#REF!</definedName>
    <definedName name="BedroomType" localSheetId="9">#REF!</definedName>
    <definedName name="BedroomType" localSheetId="10">#REF!</definedName>
    <definedName name="BedroomType" localSheetId="4">#REF!</definedName>
    <definedName name="BedroomType">#REF!</definedName>
    <definedName name="_xlnm.Print_Area" localSheetId="12">'סיכום לוועדה'!$B$2:$H$57</definedName>
    <definedName name="_xlnm.Print_Area" localSheetId="2">'פתיח '!$B$1:$M$24</definedName>
    <definedName name="_xlnm.Print_Titles" localSheetId="1">נוסחאות!$2:$3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6" i="12" l="1"/>
  <c r="E44" i="12" l="1"/>
  <c r="E11" i="1" l="1"/>
  <c r="I11" i="1"/>
  <c r="M11" i="1"/>
  <c r="Q11" i="1"/>
  <c r="U11" i="1"/>
  <c r="C20" i="18"/>
  <c r="E2" i="14"/>
  <c r="E1" i="14"/>
  <c r="L2" i="18"/>
  <c r="L1" i="18"/>
  <c r="L2" i="19"/>
  <c r="L1" i="19"/>
  <c r="I2" i="4"/>
  <c r="I1" i="4"/>
  <c r="I2" i="2"/>
  <c r="I1" i="2"/>
  <c r="I2" i="6"/>
  <c r="I1" i="6"/>
  <c r="U19" i="1"/>
  <c r="Q12" i="1" l="1"/>
  <c r="I6" i="1"/>
  <c r="P12" i="19" l="1"/>
  <c r="P5" i="19"/>
  <c r="L23" i="19"/>
  <c r="L24" i="19"/>
  <c r="P59" i="4"/>
  <c r="P45" i="4"/>
  <c r="P40" i="4"/>
  <c r="P22" i="4"/>
  <c r="P53" i="2"/>
  <c r="P38" i="2"/>
  <c r="P22" i="2"/>
  <c r="P5" i="2"/>
  <c r="P5" i="4"/>
  <c r="B7" i="20" l="1"/>
  <c r="A1" i="19" s="1"/>
  <c r="N61" i="4" l="1"/>
  <c r="N60" i="4"/>
  <c r="N55" i="2" l="1"/>
  <c r="N54" i="2"/>
  <c r="B2" i="13" l="1"/>
  <c r="O7" i="13" l="1"/>
  <c r="O8" i="13"/>
  <c r="Q46" i="1" l="1"/>
  <c r="Q47" i="1"/>
  <c r="Q48" i="1"/>
  <c r="Q49" i="1"/>
  <c r="Q50" i="1"/>
  <c r="Q51" i="1"/>
  <c r="Q52" i="1"/>
  <c r="Q53" i="1"/>
  <c r="Q40" i="1"/>
  <c r="Q41" i="1"/>
  <c r="Q42" i="1"/>
  <c r="Q43" i="1"/>
  <c r="Q44" i="1"/>
  <c r="Q45" i="1"/>
  <c r="O54" i="1"/>
  <c r="J5" i="2" l="1"/>
  <c r="D22" i="11" l="1"/>
  <c r="C22" i="11"/>
  <c r="O5" i="13" l="1"/>
  <c r="O6" i="13"/>
  <c r="O9" i="13"/>
  <c r="O10" i="13"/>
  <c r="O11" i="13"/>
  <c r="O12" i="13"/>
  <c r="O13" i="13"/>
  <c r="O14" i="13"/>
  <c r="O15" i="13"/>
  <c r="O16" i="13"/>
  <c r="O17" i="13"/>
  <c r="O18" i="13"/>
  <c r="P18" i="13" s="1"/>
  <c r="Y18" i="13" s="1"/>
  <c r="O19" i="13"/>
  <c r="O20" i="13"/>
  <c r="O21" i="13"/>
  <c r="O22" i="13"/>
  <c r="O23" i="13"/>
  <c r="O24" i="13"/>
  <c r="O25" i="13"/>
  <c r="O26" i="13"/>
  <c r="O27" i="13"/>
  <c r="O28" i="13"/>
  <c r="O4" i="13"/>
  <c r="M28" i="13"/>
  <c r="M27" i="13"/>
  <c r="M26" i="13"/>
  <c r="M25" i="13"/>
  <c r="M24" i="13"/>
  <c r="M23" i="13"/>
  <c r="M22" i="13"/>
  <c r="M21" i="13"/>
  <c r="M20" i="13"/>
  <c r="M19" i="13"/>
  <c r="M18" i="13"/>
  <c r="M17" i="13"/>
  <c r="M16" i="13"/>
  <c r="M15" i="13"/>
  <c r="M14" i="13"/>
  <c r="M13" i="13"/>
  <c r="M12" i="13"/>
  <c r="M11" i="13"/>
  <c r="M10" i="13"/>
  <c r="M9" i="13"/>
  <c r="M8" i="13"/>
  <c r="P8" i="13" s="1"/>
  <c r="Y8" i="13" s="1"/>
  <c r="M7" i="13"/>
  <c r="P7" i="13" s="1"/>
  <c r="Y7" i="13" s="1"/>
  <c r="M6" i="13"/>
  <c r="M5" i="13"/>
  <c r="M4" i="13"/>
  <c r="Q29" i="13"/>
  <c r="P26" i="13" l="1"/>
  <c r="Y26" i="13" s="1"/>
  <c r="P14" i="13"/>
  <c r="Y14" i="13" s="1"/>
  <c r="P25" i="13"/>
  <c r="Y25" i="13" s="1"/>
  <c r="P22" i="13"/>
  <c r="Y22" i="13" s="1"/>
  <c r="P10" i="13"/>
  <c r="Y10" i="13" s="1"/>
  <c r="Z10" i="13"/>
  <c r="P6" i="13"/>
  <c r="Y6" i="13" s="1"/>
  <c r="P5" i="13"/>
  <c r="P21" i="13"/>
  <c r="Y21" i="13" s="1"/>
  <c r="P17" i="13"/>
  <c r="Y17" i="13" s="1"/>
  <c r="P13" i="13"/>
  <c r="Y13" i="13" s="1"/>
  <c r="P9" i="13"/>
  <c r="Y9" i="13" s="1"/>
  <c r="P28" i="13"/>
  <c r="Y28" i="13" s="1"/>
  <c r="P24" i="13"/>
  <c r="Y24" i="13" s="1"/>
  <c r="P20" i="13"/>
  <c r="Y20" i="13" s="1"/>
  <c r="P16" i="13"/>
  <c r="Y16" i="13" s="1"/>
  <c r="P12" i="13"/>
  <c r="Y12" i="13" s="1"/>
  <c r="P27" i="13"/>
  <c r="Y27" i="13" s="1"/>
  <c r="P23" i="13"/>
  <c r="Y23" i="13" s="1"/>
  <c r="P19" i="13"/>
  <c r="Y19" i="13" s="1"/>
  <c r="P15" i="13"/>
  <c r="Y15" i="13" s="1"/>
  <c r="P11" i="13"/>
  <c r="Y11" i="13" s="1"/>
  <c r="P4" i="13"/>
  <c r="Y4" i="13" s="1"/>
  <c r="X29" i="13" l="1"/>
  <c r="Y5" i="13"/>
  <c r="Z12" i="13"/>
  <c r="Z16" i="13"/>
  <c r="Z22" i="13"/>
  <c r="Z18" i="13"/>
  <c r="Z7" i="13"/>
  <c r="Z9" i="13"/>
  <c r="Z25" i="13"/>
  <c r="Z17" i="13"/>
  <c r="Z15" i="13"/>
  <c r="Z14" i="13"/>
  <c r="Z26" i="13"/>
  <c r="Z6" i="13"/>
  <c r="Z8" i="13"/>
  <c r="Z4" i="13"/>
  <c r="P29" i="13"/>
  <c r="M58" i="1"/>
  <c r="M57" i="1"/>
  <c r="I58" i="1"/>
  <c r="I57" i="1"/>
  <c r="E58" i="1"/>
  <c r="E57" i="1"/>
  <c r="E40" i="12"/>
  <c r="E41" i="12"/>
  <c r="E39" i="12"/>
  <c r="L56" i="2"/>
  <c r="J53" i="2"/>
  <c r="H7" i="11"/>
  <c r="E12" i="11"/>
  <c r="F12" i="11" s="1"/>
  <c r="C56" i="11"/>
  <c r="C55" i="11"/>
  <c r="S29" i="13" l="1"/>
  <c r="I34" i="11" s="1"/>
  <c r="Y29" i="13"/>
  <c r="J34" i="11"/>
  <c r="Z11" i="13"/>
  <c r="Z5" i="13"/>
  <c r="Z20" i="13"/>
  <c r="Z13" i="13"/>
  <c r="Z21" i="13"/>
  <c r="Z19" i="13"/>
  <c r="Z23" i="13"/>
  <c r="Z28" i="13"/>
  <c r="Z24" i="13"/>
  <c r="Z27" i="13"/>
  <c r="E31" i="12"/>
  <c r="E30" i="12"/>
  <c r="E34" i="12"/>
  <c r="E33" i="12"/>
  <c r="G6" i="11"/>
  <c r="H6" i="11" s="1"/>
  <c r="F6" i="11"/>
  <c r="E28" i="12"/>
  <c r="Z29" i="13" l="1"/>
  <c r="E11" i="12"/>
  <c r="E43" i="12" l="1"/>
  <c r="E25" i="12"/>
  <c r="E27" i="12"/>
  <c r="E19" i="12"/>
  <c r="E20" i="12"/>
  <c r="E21" i="12"/>
  <c r="E22" i="12"/>
  <c r="E18" i="12"/>
  <c r="E15" i="12"/>
  <c r="E14" i="12"/>
  <c r="E13" i="12"/>
  <c r="E12" i="12"/>
  <c r="E10" i="12"/>
  <c r="E9" i="12"/>
  <c r="E36" i="12"/>
  <c r="E11" i="11" l="1"/>
  <c r="F11" i="11" s="1"/>
  <c r="E10" i="11" l="1"/>
  <c r="F10" i="11" s="1"/>
  <c r="E9" i="11"/>
  <c r="F9" i="11" s="1"/>
  <c r="D9" i="11"/>
  <c r="E8" i="11"/>
  <c r="F8" i="11" s="1"/>
  <c r="D10" i="11"/>
  <c r="D8" i="11"/>
  <c r="A2" i="2"/>
  <c r="E1" i="2" l="1"/>
  <c r="E2" i="2"/>
  <c r="F2" i="2"/>
  <c r="F1" i="2"/>
  <c r="C18" i="11"/>
  <c r="B2" i="2"/>
  <c r="D18" i="11" s="1"/>
  <c r="C23" i="11"/>
  <c r="B2" i="4"/>
  <c r="D23" i="11" s="1"/>
  <c r="G2" i="2" l="1"/>
  <c r="E34" i="2" s="1"/>
  <c r="F2" i="4"/>
  <c r="E2" i="4"/>
  <c r="F1" i="4"/>
  <c r="E1" i="4"/>
  <c r="E2" i="19"/>
  <c r="F2" i="19"/>
  <c r="E1" i="19"/>
  <c r="E2" i="18"/>
  <c r="E3" i="18"/>
  <c r="E1" i="18"/>
  <c r="F2" i="18"/>
  <c r="F3" i="18"/>
  <c r="F1" i="18"/>
  <c r="F55" i="2" l="1"/>
  <c r="I55" i="2" s="1"/>
  <c r="L55" i="2" s="1"/>
  <c r="F54" i="2"/>
  <c r="I54" i="2" s="1"/>
  <c r="L54" i="2" s="1"/>
  <c r="E51" i="2"/>
  <c r="D40" i="2"/>
  <c r="E40" i="2"/>
  <c r="D39" i="2"/>
  <c r="E39" i="2"/>
  <c r="D54" i="2"/>
  <c r="F12" i="2"/>
  <c r="D12" i="2"/>
  <c r="E12" i="2"/>
  <c r="G2" i="4"/>
  <c r="E52" i="4" s="1"/>
  <c r="E55" i="2"/>
  <c r="E54" i="2"/>
  <c r="D55" i="2"/>
  <c r="E20" i="2"/>
  <c r="F20" i="2"/>
  <c r="D20" i="2"/>
  <c r="F51" i="2"/>
  <c r="F47" i="2"/>
  <c r="F43" i="2"/>
  <c r="F39" i="2"/>
  <c r="F33" i="2"/>
  <c r="F29" i="2"/>
  <c r="F25" i="2"/>
  <c r="F19" i="2"/>
  <c r="F15" i="2"/>
  <c r="F10" i="2"/>
  <c r="F6" i="2"/>
  <c r="F45" i="2"/>
  <c r="F31" i="2"/>
  <c r="F23" i="2"/>
  <c r="F13" i="2"/>
  <c r="F44" i="2"/>
  <c r="F34" i="2"/>
  <c r="F26" i="2"/>
  <c r="F16" i="2"/>
  <c r="F7" i="2"/>
  <c r="F50" i="2"/>
  <c r="F46" i="2"/>
  <c r="F42" i="2"/>
  <c r="F36" i="2"/>
  <c r="F32" i="2"/>
  <c r="F28" i="2"/>
  <c r="F24" i="2"/>
  <c r="F18" i="2"/>
  <c r="F14" i="2"/>
  <c r="F9" i="2"/>
  <c r="F49" i="2"/>
  <c r="F41" i="2"/>
  <c r="F35" i="2"/>
  <c r="F27" i="2"/>
  <c r="F17" i="2"/>
  <c r="F8" i="2"/>
  <c r="F48" i="2"/>
  <c r="F40" i="2"/>
  <c r="F30" i="2"/>
  <c r="F11" i="2"/>
  <c r="D6" i="2"/>
  <c r="D8" i="2"/>
  <c r="D10" i="2"/>
  <c r="D13" i="2"/>
  <c r="D15" i="2"/>
  <c r="D17" i="2"/>
  <c r="D19" i="2"/>
  <c r="D7" i="2"/>
  <c r="D11" i="2"/>
  <c r="D18" i="2"/>
  <c r="E7" i="2"/>
  <c r="E11" i="2"/>
  <c r="E16" i="2"/>
  <c r="E6" i="2"/>
  <c r="E8" i="2"/>
  <c r="E10" i="2"/>
  <c r="E13" i="2"/>
  <c r="E15" i="2"/>
  <c r="E17" i="2"/>
  <c r="E19" i="2"/>
  <c r="D9" i="2"/>
  <c r="D14" i="2"/>
  <c r="D16" i="2"/>
  <c r="E9" i="2"/>
  <c r="E14" i="2"/>
  <c r="E18" i="2"/>
  <c r="D37" i="12"/>
  <c r="F38" i="4" l="1"/>
  <c r="F37" i="4"/>
  <c r="D52" i="4"/>
  <c r="D60" i="4"/>
  <c r="F12" i="4"/>
  <c r="E12" i="4"/>
  <c r="D12" i="4"/>
  <c r="L12" i="2"/>
  <c r="G12" i="2"/>
  <c r="L51" i="2"/>
  <c r="L16" i="2"/>
  <c r="F36" i="4"/>
  <c r="F29" i="4"/>
  <c r="F54" i="4"/>
  <c r="F9" i="4"/>
  <c r="F11" i="4"/>
  <c r="F57" i="4"/>
  <c r="F18" i="4"/>
  <c r="F47" i="4"/>
  <c r="F33" i="4"/>
  <c r="F16" i="4"/>
  <c r="F14" i="4"/>
  <c r="F24" i="4"/>
  <c r="F55" i="4"/>
  <c r="F42" i="4"/>
  <c r="F30" i="4"/>
  <c r="F10" i="4"/>
  <c r="F28" i="4"/>
  <c r="F15" i="4"/>
  <c r="F52" i="4"/>
  <c r="F34" i="4"/>
  <c r="F43" i="4"/>
  <c r="F41" i="4"/>
  <c r="F8" i="4"/>
  <c r="F19" i="4"/>
  <c r="F48" i="4"/>
  <c r="F20" i="4"/>
  <c r="F53" i="4"/>
  <c r="F51" i="4"/>
  <c r="F17" i="4"/>
  <c r="F23" i="4"/>
  <c r="F56" i="4"/>
  <c r="F35" i="4"/>
  <c r="F50" i="4"/>
  <c r="F6" i="4"/>
  <c r="F27" i="4"/>
  <c r="F46" i="4"/>
  <c r="F7" i="4"/>
  <c r="F26" i="4"/>
  <c r="F49" i="4"/>
  <c r="F32" i="4"/>
  <c r="F25" i="4"/>
  <c r="F13" i="4"/>
  <c r="F31" i="4"/>
  <c r="F61" i="4"/>
  <c r="I61" i="4" s="1"/>
  <c r="E61" i="4"/>
  <c r="L7" i="2"/>
  <c r="L6" i="2"/>
  <c r="G54" i="2"/>
  <c r="J54" i="2"/>
  <c r="G55" i="2"/>
  <c r="J55" i="2"/>
  <c r="E13" i="11"/>
  <c r="F13" i="11" s="1"/>
  <c r="C57" i="11"/>
  <c r="L13" i="2"/>
  <c r="G13" i="2"/>
  <c r="L9" i="2"/>
  <c r="G9" i="2"/>
  <c r="G8" i="2"/>
  <c r="L8" i="2"/>
  <c r="G16" i="2"/>
  <c r="G14" i="2"/>
  <c r="L14" i="2"/>
  <c r="G17" i="2"/>
  <c r="L17" i="2"/>
  <c r="G18" i="2"/>
  <c r="L18" i="2"/>
  <c r="G19" i="2"/>
  <c r="L19" i="2"/>
  <c r="D19" i="4"/>
  <c r="E18" i="4"/>
  <c r="D14" i="4"/>
  <c r="D17" i="4"/>
  <c r="D18" i="4"/>
  <c r="E19" i="4"/>
  <c r="E14" i="4"/>
  <c r="E17" i="4"/>
  <c r="F1" i="19"/>
  <c r="F21" i="19" s="1"/>
  <c r="S60" i="1"/>
  <c r="O60" i="1"/>
  <c r="U55" i="1"/>
  <c r="U56" i="1"/>
  <c r="Q55" i="1"/>
  <c r="Q56" i="1"/>
  <c r="G12" i="4" l="1"/>
  <c r="L12" i="4"/>
  <c r="J12" i="2"/>
  <c r="V12" i="2" s="1"/>
  <c r="W12" i="2" s="1"/>
  <c r="P56" i="2"/>
  <c r="I22" i="11" s="1"/>
  <c r="J16" i="2"/>
  <c r="V16" i="2" s="1"/>
  <c r="U56" i="2"/>
  <c r="J22" i="11" s="1"/>
  <c r="J56" i="2"/>
  <c r="E22" i="11" s="1"/>
  <c r="K55" i="2"/>
  <c r="G56" i="2"/>
  <c r="K54" i="2"/>
  <c r="J9" i="2"/>
  <c r="J13" i="2"/>
  <c r="V13" i="2" s="1"/>
  <c r="J14" i="2"/>
  <c r="V14" i="2" s="1"/>
  <c r="J17" i="2"/>
  <c r="V17" i="2" s="1"/>
  <c r="J19" i="2"/>
  <c r="V19" i="2" s="1"/>
  <c r="J18" i="2"/>
  <c r="V18" i="2" s="1"/>
  <c r="J8" i="2"/>
  <c r="G18" i="4"/>
  <c r="G19" i="4"/>
  <c r="G14" i="4"/>
  <c r="G17" i="4"/>
  <c r="L14" i="4"/>
  <c r="L17" i="4"/>
  <c r="L18" i="4"/>
  <c r="L19" i="4"/>
  <c r="J12" i="4" l="1"/>
  <c r="V54" i="2"/>
  <c r="W54" i="2" s="1"/>
  <c r="J19" i="4"/>
  <c r="V19" i="4" s="1"/>
  <c r="W19" i="4" s="1"/>
  <c r="J17" i="4"/>
  <c r="V17" i="4" s="1"/>
  <c r="W17" i="4" s="1"/>
  <c r="J18" i="4"/>
  <c r="K18" i="4" s="1"/>
  <c r="V18" i="4"/>
  <c r="W18" i="4" s="1"/>
  <c r="V55" i="2"/>
  <c r="W55" i="2" s="1"/>
  <c r="V9" i="2"/>
  <c r="W9" i="2" s="1"/>
  <c r="W16" i="2"/>
  <c r="K8" i="2"/>
  <c r="V8" i="2"/>
  <c r="W8" i="2" s="1"/>
  <c r="K18" i="2"/>
  <c r="W18" i="2"/>
  <c r="K19" i="2"/>
  <c r="W19" i="2"/>
  <c r="K17" i="2"/>
  <c r="W17" i="2"/>
  <c r="K14" i="2"/>
  <c r="W13" i="2"/>
  <c r="J14" i="4"/>
  <c r="C28" i="11"/>
  <c r="C27" i="11"/>
  <c r="C26" i="11"/>
  <c r="C25" i="11"/>
  <c r="C24" i="11"/>
  <c r="D28" i="11"/>
  <c r="D27" i="11"/>
  <c r="D26" i="11"/>
  <c r="D25" i="11"/>
  <c r="D24" i="11"/>
  <c r="C21" i="11"/>
  <c r="C20" i="11"/>
  <c r="D21" i="11"/>
  <c r="C19" i="11"/>
  <c r="D20" i="11"/>
  <c r="D19" i="11"/>
  <c r="C31" i="11"/>
  <c r="C30" i="11"/>
  <c r="V12" i="4" l="1"/>
  <c r="W12" i="4" s="1"/>
  <c r="K12" i="4"/>
  <c r="K19" i="4"/>
  <c r="K17" i="4"/>
  <c r="K14" i="4"/>
  <c r="V56" i="2"/>
  <c r="W56" i="2" s="1"/>
  <c r="W14" i="2"/>
  <c r="G15" i="19"/>
  <c r="D31" i="11"/>
  <c r="D30" i="11"/>
  <c r="L7" i="19"/>
  <c r="G7" i="19"/>
  <c r="A2" i="19"/>
  <c r="C29" i="11" s="1"/>
  <c r="B2" i="19"/>
  <c r="D29" i="11" s="1"/>
  <c r="J5" i="19"/>
  <c r="L7" i="18"/>
  <c r="L8" i="18"/>
  <c r="L9" i="18"/>
  <c r="L10" i="18"/>
  <c r="L11" i="18"/>
  <c r="L12" i="18"/>
  <c r="L13" i="18"/>
  <c r="L14" i="18"/>
  <c r="L15" i="18"/>
  <c r="L16" i="18"/>
  <c r="L17" i="18"/>
  <c r="L18" i="18"/>
  <c r="L19" i="18"/>
  <c r="L20" i="18"/>
  <c r="L21" i="18"/>
  <c r="L22" i="18"/>
  <c r="L23" i="18"/>
  <c r="L6" i="18"/>
  <c r="J15" i="19" l="1"/>
  <c r="V15" i="19" s="1"/>
  <c r="W15" i="19" s="1"/>
  <c r="J7" i="19"/>
  <c r="V7" i="19"/>
  <c r="W7" i="19" s="1"/>
  <c r="V14" i="4"/>
  <c r="W14" i="4" s="1"/>
  <c r="L10" i="19"/>
  <c r="G9" i="19"/>
  <c r="L9" i="19"/>
  <c r="L21" i="19"/>
  <c r="L16" i="19"/>
  <c r="G10" i="19"/>
  <c r="G16" i="19"/>
  <c r="G8" i="19"/>
  <c r="L22" i="19"/>
  <c r="L17" i="19"/>
  <c r="L19" i="19"/>
  <c r="G19" i="19"/>
  <c r="L18" i="19"/>
  <c r="L13" i="19"/>
  <c r="L15" i="19"/>
  <c r="G21" i="19"/>
  <c r="L6" i="19"/>
  <c r="L14" i="19"/>
  <c r="L20" i="19"/>
  <c r="G17" i="19"/>
  <c r="G6" i="19"/>
  <c r="G13" i="19"/>
  <c r="G18" i="19"/>
  <c r="G20" i="19"/>
  <c r="G14" i="19"/>
  <c r="G22" i="19"/>
  <c r="K7" i="19"/>
  <c r="L8" i="19"/>
  <c r="K15" i="19" l="1"/>
  <c r="J14" i="19"/>
  <c r="V14" i="19" s="1"/>
  <c r="J20" i="19"/>
  <c r="J19" i="19"/>
  <c r="J8" i="19"/>
  <c r="K8" i="19" s="1"/>
  <c r="J17" i="19"/>
  <c r="J10" i="19"/>
  <c r="J16" i="19"/>
  <c r="V16" i="19" s="1"/>
  <c r="W16" i="19" s="1"/>
  <c r="J9" i="19"/>
  <c r="V20" i="19"/>
  <c r="W20" i="19"/>
  <c r="V19" i="19"/>
  <c r="W19" i="19"/>
  <c r="J13" i="19"/>
  <c r="G23" i="19"/>
  <c r="J6" i="19"/>
  <c r="G11" i="19"/>
  <c r="K6" i="19"/>
  <c r="J22" i="19"/>
  <c r="J18" i="19"/>
  <c r="J21" i="19"/>
  <c r="K17" i="19"/>
  <c r="K20" i="19"/>
  <c r="K19" i="19"/>
  <c r="K14" i="19" l="1"/>
  <c r="W14" i="19"/>
  <c r="K16" i="19"/>
  <c r="V17" i="19"/>
  <c r="W17" i="19" s="1"/>
  <c r="G24" i="19"/>
  <c r="P23" i="19"/>
  <c r="I31" i="11" s="1"/>
  <c r="P11" i="19"/>
  <c r="P24" i="19" s="1"/>
  <c r="K10" i="19"/>
  <c r="I30" i="11"/>
  <c r="K9" i="19"/>
  <c r="U23" i="19"/>
  <c r="J31" i="11" s="1"/>
  <c r="J23" i="19"/>
  <c r="K23" i="19" s="1"/>
  <c r="K13" i="19"/>
  <c r="V21" i="19"/>
  <c r="W21" i="19" s="1"/>
  <c r="V18" i="19"/>
  <c r="W18" i="19"/>
  <c r="V22" i="19"/>
  <c r="W22" i="19" s="1"/>
  <c r="J11" i="19"/>
  <c r="U11" i="19"/>
  <c r="K22" i="19"/>
  <c r="K18" i="19"/>
  <c r="K21" i="19"/>
  <c r="V9" i="19"/>
  <c r="W9" i="19" s="1"/>
  <c r="V10" i="19"/>
  <c r="W10" i="19" s="1"/>
  <c r="V8" i="19"/>
  <c r="W8" i="19" s="1"/>
  <c r="C32" i="11"/>
  <c r="D32" i="11"/>
  <c r="C33" i="11"/>
  <c r="D33" i="11"/>
  <c r="A2" i="13"/>
  <c r="C34" i="11" s="1"/>
  <c r="D34" i="11"/>
  <c r="A2" i="6"/>
  <c r="C17" i="11" s="1"/>
  <c r="B2" i="6"/>
  <c r="D17" i="11" s="1"/>
  <c r="V6" i="19" l="1"/>
  <c r="W6" i="19" s="1"/>
  <c r="U24" i="19"/>
  <c r="J30" i="11"/>
  <c r="V11" i="19"/>
  <c r="W11" i="19" s="1"/>
  <c r="J24" i="19"/>
  <c r="V13" i="19"/>
  <c r="W13" i="19" s="1"/>
  <c r="V23" i="19"/>
  <c r="W23" i="19" s="1"/>
  <c r="F2" i="6"/>
  <c r="F1" i="6"/>
  <c r="F18" i="6" l="1"/>
  <c r="F7" i="6"/>
  <c r="K24" i="19"/>
  <c r="V24" i="19"/>
  <c r="W24" i="19" s="1"/>
  <c r="F17" i="6"/>
  <c r="F5" i="6"/>
  <c r="F9" i="6"/>
  <c r="F15" i="6"/>
  <c r="F6" i="6"/>
  <c r="F10" i="6"/>
  <c r="F11" i="6"/>
  <c r="F12" i="6"/>
  <c r="F16" i="6"/>
  <c r="F8" i="6"/>
  <c r="F14" i="6"/>
  <c r="F13" i="6"/>
  <c r="G18" i="6"/>
  <c r="L10" i="6" l="1"/>
  <c r="L12" i="6"/>
  <c r="L13" i="6"/>
  <c r="L15" i="6"/>
  <c r="L14" i="6"/>
  <c r="L16" i="6"/>
  <c r="L18" i="6"/>
  <c r="L11" i="6"/>
  <c r="L9" i="6"/>
  <c r="L17" i="6"/>
  <c r="L7" i="6"/>
  <c r="G7" i="6"/>
  <c r="L8" i="6"/>
  <c r="L5" i="6"/>
  <c r="G5" i="6"/>
  <c r="L6" i="6"/>
  <c r="J18" i="6"/>
  <c r="K18" i="6" s="1"/>
  <c r="G9" i="6"/>
  <c r="G6" i="6"/>
  <c r="G11" i="6"/>
  <c r="G17" i="6"/>
  <c r="G16" i="6"/>
  <c r="G12" i="6"/>
  <c r="G15" i="6"/>
  <c r="G14" i="6"/>
  <c r="G13" i="6"/>
  <c r="G10" i="6"/>
  <c r="J7" i="6" l="1"/>
  <c r="J5" i="6"/>
  <c r="V18" i="6"/>
  <c r="W18" i="6" s="1"/>
  <c r="J10" i="6"/>
  <c r="K10" i="6" s="1"/>
  <c r="J17" i="6"/>
  <c r="K17" i="6" s="1"/>
  <c r="V17" i="6"/>
  <c r="J12" i="6"/>
  <c r="J13" i="6"/>
  <c r="J6" i="6"/>
  <c r="J16" i="6"/>
  <c r="J14" i="6"/>
  <c r="J15" i="6"/>
  <c r="J11" i="6"/>
  <c r="J9" i="6"/>
  <c r="V7" i="6" l="1"/>
  <c r="W7" i="6" s="1"/>
  <c r="K7" i="6"/>
  <c r="K5" i="6"/>
  <c r="V10" i="6"/>
  <c r="K12" i="6"/>
  <c r="V12" i="6"/>
  <c r="W17" i="6"/>
  <c r="K15" i="6"/>
  <c r="V15" i="6"/>
  <c r="K14" i="6"/>
  <c r="V14" i="6"/>
  <c r="K16" i="6"/>
  <c r="V16" i="6"/>
  <c r="K6" i="6"/>
  <c r="V6" i="6"/>
  <c r="K13" i="6"/>
  <c r="V13" i="6"/>
  <c r="K9" i="6"/>
  <c r="V9" i="6"/>
  <c r="K11" i="6"/>
  <c r="V11" i="6"/>
  <c r="M29" i="14"/>
  <c r="D2" i="11"/>
  <c r="A1" i="13"/>
  <c r="A1" i="14"/>
  <c r="A1" i="18"/>
  <c r="A1" i="4"/>
  <c r="A1" i="2"/>
  <c r="A1" i="6"/>
  <c r="C1" i="12"/>
  <c r="V5" i="6" l="1"/>
  <c r="W5" i="6" s="1"/>
  <c r="W10" i="6"/>
  <c r="W11" i="6"/>
  <c r="W14" i="6"/>
  <c r="W15" i="6"/>
  <c r="W9" i="6"/>
  <c r="W13" i="6"/>
  <c r="W12" i="6"/>
  <c r="W6" i="6"/>
  <c r="W16" i="6"/>
  <c r="J5" i="4"/>
  <c r="J12" i="19" l="1"/>
  <c r="L11" i="19"/>
  <c r="U27" i="1"/>
  <c r="Q27" i="1"/>
  <c r="M27" i="1"/>
  <c r="I27" i="1"/>
  <c r="E27" i="1"/>
  <c r="E31" i="11" l="1"/>
  <c r="K11" i="19"/>
  <c r="F30" i="11" s="1"/>
  <c r="E30" i="11"/>
  <c r="M24" i="1"/>
  <c r="F31" i="11" l="1"/>
  <c r="F29" i="11"/>
  <c r="U24" i="1" l="1"/>
  <c r="Q24" i="1"/>
  <c r="I24" i="1"/>
  <c r="E24" i="1"/>
  <c r="U28" i="1" l="1"/>
  <c r="Q28" i="1"/>
  <c r="M28" i="1"/>
  <c r="I28" i="1"/>
  <c r="U26" i="1"/>
  <c r="Q26" i="1"/>
  <c r="M26" i="1"/>
  <c r="I26" i="1"/>
  <c r="E26" i="1"/>
  <c r="E28" i="1"/>
  <c r="U25" i="1"/>
  <c r="Q25" i="1"/>
  <c r="M25" i="1"/>
  <c r="I25" i="1"/>
  <c r="E25" i="1"/>
  <c r="L24" i="18" l="1"/>
  <c r="F3" i="11" l="1"/>
  <c r="F5" i="11"/>
  <c r="G5" i="11"/>
  <c r="H5" i="11" s="1"/>
  <c r="G3" i="11"/>
  <c r="G4" i="11" s="1"/>
  <c r="H4" i="11" s="1"/>
  <c r="H3" i="11" l="1"/>
  <c r="G23" i="18"/>
  <c r="J23" i="18" l="1"/>
  <c r="U35" i="1"/>
  <c r="Q35" i="1"/>
  <c r="K23" i="18" l="1"/>
  <c r="U15" i="1"/>
  <c r="Q15" i="1"/>
  <c r="U41" i="1"/>
  <c r="M41" i="1"/>
  <c r="I41" i="1"/>
  <c r="E41" i="1"/>
  <c r="U18" i="1"/>
  <c r="Q18" i="1"/>
  <c r="M18" i="1"/>
  <c r="I18" i="1"/>
  <c r="E18" i="1"/>
  <c r="Q17" i="1"/>
  <c r="U17" i="1"/>
  <c r="M17" i="1"/>
  <c r="I17" i="1"/>
  <c r="E17" i="1"/>
  <c r="M12" i="1"/>
  <c r="U12" i="1"/>
  <c r="I12" i="1"/>
  <c r="E12" i="1"/>
  <c r="V23" i="18" l="1"/>
  <c r="W23" i="18"/>
  <c r="E51" i="1"/>
  <c r="I14" i="1"/>
  <c r="U47" i="1" l="1"/>
  <c r="U48" i="1"/>
  <c r="C21" i="18" l="1"/>
  <c r="C22" i="18"/>
  <c r="C19" i="18"/>
  <c r="G22" i="18" l="1"/>
  <c r="G21" i="18"/>
  <c r="G20" i="18"/>
  <c r="G19" i="18"/>
  <c r="G7" i="18"/>
  <c r="G8" i="18"/>
  <c r="G9" i="18"/>
  <c r="G10" i="18"/>
  <c r="G11" i="18"/>
  <c r="G12" i="18"/>
  <c r="G13" i="18"/>
  <c r="G14" i="18"/>
  <c r="G15" i="18"/>
  <c r="G16" i="18"/>
  <c r="G17" i="18"/>
  <c r="G18" i="18"/>
  <c r="G6" i="18"/>
  <c r="J14" i="18" l="1"/>
  <c r="J13" i="18"/>
  <c r="J12" i="18"/>
  <c r="K12" i="18" s="1"/>
  <c r="J7" i="18"/>
  <c r="K7" i="18" s="1"/>
  <c r="J8" i="18"/>
  <c r="K8" i="18" s="1"/>
  <c r="J9" i="18"/>
  <c r="K9" i="18" s="1"/>
  <c r="J11" i="18"/>
  <c r="J10" i="18"/>
  <c r="K10" i="18" s="1"/>
  <c r="J15" i="18"/>
  <c r="K15" i="18" s="1"/>
  <c r="J16" i="18"/>
  <c r="K16" i="18" s="1"/>
  <c r="J17" i="18"/>
  <c r="K17" i="18" s="1"/>
  <c r="J18" i="18"/>
  <c r="J19" i="18"/>
  <c r="K19" i="18" s="1"/>
  <c r="J20" i="18"/>
  <c r="K20" i="18" s="1"/>
  <c r="J21" i="18"/>
  <c r="K21" i="18" s="1"/>
  <c r="J22" i="18"/>
  <c r="K22" i="18" s="1"/>
  <c r="K14" i="18"/>
  <c r="K13" i="18"/>
  <c r="K11" i="18"/>
  <c r="G24" i="18"/>
  <c r="J6" i="18"/>
  <c r="V8" i="18" l="1"/>
  <c r="W8" i="18" s="1"/>
  <c r="V9" i="18"/>
  <c r="W9" i="18" s="1"/>
  <c r="V16" i="18"/>
  <c r="W16" i="18" s="1"/>
  <c r="K18" i="18"/>
  <c r="P24" i="18"/>
  <c r="I32" i="11" s="1"/>
  <c r="V21" i="18"/>
  <c r="V22" i="18"/>
  <c r="W22" i="18" s="1"/>
  <c r="J24" i="18"/>
  <c r="V11" i="18"/>
  <c r="W11" i="18" s="1"/>
  <c r="V10" i="18"/>
  <c r="W10" i="18" s="1"/>
  <c r="V15" i="18"/>
  <c r="W15" i="18" s="1"/>
  <c r="V17" i="18"/>
  <c r="W17" i="18" s="1"/>
  <c r="V12" i="18"/>
  <c r="W12" i="18" s="1"/>
  <c r="V18" i="18"/>
  <c r="W18" i="18" s="1"/>
  <c r="V7" i="18"/>
  <c r="W7" i="18" s="1"/>
  <c r="V14" i="18"/>
  <c r="W14" i="18"/>
  <c r="V13" i="18"/>
  <c r="W13" i="18" s="1"/>
  <c r="V6" i="18"/>
  <c r="W6" i="18" s="1"/>
  <c r="K6" i="18"/>
  <c r="V20" i="18" l="1"/>
  <c r="W20" i="18" s="1"/>
  <c r="K24" i="18"/>
  <c r="F32" i="11" s="1"/>
  <c r="W21" i="18"/>
  <c r="E32" i="11"/>
  <c r="U24" i="18"/>
  <c r="V19" i="18"/>
  <c r="W19" i="18" s="1"/>
  <c r="Q14" i="1"/>
  <c r="U14" i="1"/>
  <c r="M14" i="1"/>
  <c r="E14" i="1"/>
  <c r="V24" i="18" l="1"/>
  <c r="W24" i="18" s="1"/>
  <c r="J32" i="11"/>
  <c r="D32" i="4"/>
  <c r="E32" i="4"/>
  <c r="E34" i="4"/>
  <c r="D34" i="4"/>
  <c r="L34" i="4"/>
  <c r="E31" i="4"/>
  <c r="E33" i="4"/>
  <c r="D30" i="4"/>
  <c r="D31" i="4"/>
  <c r="D33" i="4"/>
  <c r="E30" i="4"/>
  <c r="E25" i="4"/>
  <c r="D38" i="4"/>
  <c r="D25" i="4"/>
  <c r="E38" i="4"/>
  <c r="G32" i="4" l="1"/>
  <c r="G33" i="4"/>
  <c r="G31" i="4"/>
  <c r="G34" i="4"/>
  <c r="G30" i="4"/>
  <c r="G25" i="4"/>
  <c r="J34" i="4" l="1"/>
  <c r="V34" i="4" s="1"/>
  <c r="W34" i="4" s="1"/>
  <c r="J33" i="4"/>
  <c r="J30" i="4"/>
  <c r="J31" i="4"/>
  <c r="J25" i="4"/>
  <c r="J32" i="4"/>
  <c r="L31" i="4"/>
  <c r="L30" i="4"/>
  <c r="L32" i="4"/>
  <c r="L25" i="4"/>
  <c r="L33" i="4"/>
  <c r="Q58" i="1"/>
  <c r="Q59" i="1"/>
  <c r="U58" i="1"/>
  <c r="U59" i="1"/>
  <c r="S54" i="1"/>
  <c r="G54" i="1"/>
  <c r="C54" i="1"/>
  <c r="E40" i="1"/>
  <c r="E42" i="1"/>
  <c r="E43" i="1"/>
  <c r="E44" i="1"/>
  <c r="E45" i="1"/>
  <c r="E46" i="1"/>
  <c r="E48" i="1"/>
  <c r="E49" i="1"/>
  <c r="E50" i="1"/>
  <c r="E52" i="1"/>
  <c r="E53" i="1"/>
  <c r="I40" i="1"/>
  <c r="I42" i="1"/>
  <c r="I43" i="1"/>
  <c r="I44" i="1"/>
  <c r="I45" i="1"/>
  <c r="I46" i="1"/>
  <c r="I48" i="1"/>
  <c r="I49" i="1"/>
  <c r="I50" i="1"/>
  <c r="I51" i="1"/>
  <c r="I52" i="1"/>
  <c r="I53" i="1"/>
  <c r="M40" i="1"/>
  <c r="M42" i="1"/>
  <c r="M43" i="1"/>
  <c r="M44" i="1"/>
  <c r="M45" i="1"/>
  <c r="M46" i="1"/>
  <c r="M48" i="1"/>
  <c r="M49" i="1"/>
  <c r="M51" i="1"/>
  <c r="M52" i="1"/>
  <c r="M53" i="1"/>
  <c r="U40" i="1"/>
  <c r="U42" i="1"/>
  <c r="U43" i="1"/>
  <c r="U44" i="1"/>
  <c r="U45" i="1"/>
  <c r="U46" i="1"/>
  <c r="U49" i="1"/>
  <c r="U50" i="1"/>
  <c r="U51" i="1"/>
  <c r="U52" i="1"/>
  <c r="U53" i="1"/>
  <c r="S37" i="1"/>
  <c r="O37" i="1"/>
  <c r="K37" i="1"/>
  <c r="G37" i="1"/>
  <c r="C37" i="1"/>
  <c r="E22" i="1"/>
  <c r="E23" i="1"/>
  <c r="E29" i="1"/>
  <c r="E30" i="1"/>
  <c r="E31" i="1"/>
  <c r="E32" i="1"/>
  <c r="E33" i="1"/>
  <c r="E34" i="1"/>
  <c r="E36" i="1"/>
  <c r="I22" i="1"/>
  <c r="I23" i="1"/>
  <c r="I29" i="1"/>
  <c r="I30" i="1"/>
  <c r="I31" i="1"/>
  <c r="I32" i="1"/>
  <c r="I33" i="1"/>
  <c r="I34" i="1"/>
  <c r="I35" i="1"/>
  <c r="I36" i="1"/>
  <c r="M22" i="1"/>
  <c r="M23" i="1"/>
  <c r="M29" i="1"/>
  <c r="M30" i="1"/>
  <c r="M31" i="1"/>
  <c r="M32" i="1"/>
  <c r="M33" i="1"/>
  <c r="M34" i="1"/>
  <c r="M35" i="1"/>
  <c r="M36" i="1"/>
  <c r="Q22" i="1"/>
  <c r="Q23" i="1"/>
  <c r="Q29" i="1"/>
  <c r="Q30" i="1"/>
  <c r="Q31" i="1"/>
  <c r="Q32" i="1"/>
  <c r="Q33" i="1"/>
  <c r="Q34" i="1"/>
  <c r="Q36" i="1"/>
  <c r="U22" i="1"/>
  <c r="U23" i="1"/>
  <c r="U29" i="1"/>
  <c r="U30" i="1"/>
  <c r="U31" i="1"/>
  <c r="U32" i="1"/>
  <c r="U33" i="1"/>
  <c r="U34" i="1"/>
  <c r="U36" i="1"/>
  <c r="S20" i="1"/>
  <c r="O20" i="1"/>
  <c r="K20" i="1"/>
  <c r="G20" i="1"/>
  <c r="C20" i="1"/>
  <c r="E5" i="1"/>
  <c r="E6" i="1"/>
  <c r="E7" i="1"/>
  <c r="E8" i="1"/>
  <c r="E9" i="1"/>
  <c r="E10" i="1"/>
  <c r="E13" i="1"/>
  <c r="E15" i="1"/>
  <c r="E16" i="1"/>
  <c r="E19" i="1"/>
  <c r="I5" i="1"/>
  <c r="I7" i="1"/>
  <c r="I8" i="1"/>
  <c r="I9" i="1"/>
  <c r="I10" i="1"/>
  <c r="I13" i="1"/>
  <c r="I15" i="1"/>
  <c r="I16" i="1"/>
  <c r="I19" i="1"/>
  <c r="M5" i="1"/>
  <c r="M6" i="1"/>
  <c r="M7" i="1"/>
  <c r="M8" i="1"/>
  <c r="M9" i="1"/>
  <c r="M10" i="1"/>
  <c r="M13" i="1"/>
  <c r="M15" i="1"/>
  <c r="M16" i="1"/>
  <c r="M19" i="1"/>
  <c r="Q5" i="1"/>
  <c r="Q6" i="1"/>
  <c r="Q7" i="1"/>
  <c r="Q8" i="1"/>
  <c r="Q9" i="1"/>
  <c r="Q10" i="1"/>
  <c r="Q13" i="1"/>
  <c r="Q16" i="1"/>
  <c r="Q19" i="1"/>
  <c r="U5" i="1"/>
  <c r="U6" i="1"/>
  <c r="U7" i="1"/>
  <c r="U8" i="1"/>
  <c r="U9" i="1"/>
  <c r="U10" i="1"/>
  <c r="U13" i="1"/>
  <c r="U16" i="1"/>
  <c r="K34" i="4" l="1"/>
  <c r="K32" i="4"/>
  <c r="K25" i="4"/>
  <c r="V25" i="4"/>
  <c r="W25" i="4" s="1"/>
  <c r="K31" i="4"/>
  <c r="K30" i="4"/>
  <c r="K33" i="4"/>
  <c r="U37" i="1"/>
  <c r="Q37" i="1"/>
  <c r="E37" i="1"/>
  <c r="O61" i="1"/>
  <c r="S61" i="1"/>
  <c r="V33" i="4" l="1"/>
  <c r="W33" i="4" s="1"/>
  <c r="V30" i="4"/>
  <c r="W30" i="4" s="1"/>
  <c r="V31" i="4"/>
  <c r="W31" i="4" s="1"/>
  <c r="V32" i="4"/>
  <c r="W32" i="4" s="1"/>
  <c r="L63" i="4"/>
  <c r="L62" i="4"/>
  <c r="J59" i="4"/>
  <c r="L58" i="4"/>
  <c r="J40" i="4"/>
  <c r="L39" i="4"/>
  <c r="J45" i="4"/>
  <c r="L44" i="4"/>
  <c r="J22" i="4"/>
  <c r="L21" i="4"/>
  <c r="D6" i="4" l="1"/>
  <c r="D15" i="4"/>
  <c r="D16" i="4"/>
  <c r="E15" i="4"/>
  <c r="E16" i="4"/>
  <c r="D56" i="4"/>
  <c r="D49" i="4"/>
  <c r="D42" i="4"/>
  <c r="D35" i="4"/>
  <c r="D26" i="4"/>
  <c r="D10" i="4"/>
  <c r="D7" i="4"/>
  <c r="D53" i="4"/>
  <c r="D50" i="4"/>
  <c r="D43" i="4"/>
  <c r="D36" i="4"/>
  <c r="D27" i="4"/>
  <c r="D37" i="4"/>
  <c r="D11" i="4"/>
  <c r="E24" i="4"/>
  <c r="D61" i="4"/>
  <c r="D54" i="4"/>
  <c r="D51" i="4"/>
  <c r="D29" i="4"/>
  <c r="D23" i="4"/>
  <c r="D28" i="4"/>
  <c r="D20" i="4"/>
  <c r="D13" i="4"/>
  <c r="D55" i="4"/>
  <c r="D48" i="4"/>
  <c r="D41" i="4"/>
  <c r="D24" i="4"/>
  <c r="D57" i="4"/>
  <c r="D9" i="4"/>
  <c r="D8" i="4"/>
  <c r="L26" i="4"/>
  <c r="E26" i="4"/>
  <c r="E48" i="4"/>
  <c r="E6" i="4"/>
  <c r="E11" i="4"/>
  <c r="E42" i="4"/>
  <c r="E13" i="4"/>
  <c r="L54" i="4"/>
  <c r="E57" i="4"/>
  <c r="E55" i="4"/>
  <c r="L50" i="4"/>
  <c r="E50" i="4"/>
  <c r="L7" i="4"/>
  <c r="E8" i="4"/>
  <c r="L20" i="4"/>
  <c r="L23" i="4"/>
  <c r="L29" i="4"/>
  <c r="L35" i="4"/>
  <c r="L46" i="4"/>
  <c r="L47" i="4"/>
  <c r="E54" i="4"/>
  <c r="E7" i="4"/>
  <c r="L10" i="4"/>
  <c r="E20" i="4"/>
  <c r="E23" i="4"/>
  <c r="L28" i="4"/>
  <c r="E29" i="4"/>
  <c r="E35" i="4"/>
  <c r="L38" i="4"/>
  <c r="E10" i="4"/>
  <c r="L27" i="4"/>
  <c r="E28" i="4"/>
  <c r="G28" i="4" s="1"/>
  <c r="L37" i="4"/>
  <c r="L53" i="4"/>
  <c r="L9" i="4"/>
  <c r="L8" i="4"/>
  <c r="E9" i="4"/>
  <c r="E27" i="4"/>
  <c r="E36" i="4"/>
  <c r="E37" i="4"/>
  <c r="E53" i="4"/>
  <c r="J28" i="4" l="1"/>
  <c r="V28" i="4" s="1"/>
  <c r="W28" i="4" s="1"/>
  <c r="G16" i="4"/>
  <c r="G15" i="4"/>
  <c r="G24" i="4"/>
  <c r="G48" i="4"/>
  <c r="G11" i="4"/>
  <c r="G42" i="4"/>
  <c r="G54" i="4"/>
  <c r="L6" i="4"/>
  <c r="G6" i="4"/>
  <c r="G13" i="4"/>
  <c r="G57" i="4"/>
  <c r="G27" i="4"/>
  <c r="G50" i="4"/>
  <c r="G36" i="4"/>
  <c r="L43" i="4"/>
  <c r="L51" i="4"/>
  <c r="L56" i="4"/>
  <c r="L49" i="4"/>
  <c r="L52" i="4"/>
  <c r="F60" i="4"/>
  <c r="L41" i="4"/>
  <c r="L61" i="4"/>
  <c r="L55" i="4"/>
  <c r="K28" i="4" l="1"/>
  <c r="I60" i="4"/>
  <c r="L60" i="4" s="1"/>
  <c r="J54" i="4"/>
  <c r="V54" i="4" s="1"/>
  <c r="W54" i="4" s="1"/>
  <c r="J42" i="4"/>
  <c r="V42" i="4" s="1"/>
  <c r="W42" i="4" s="1"/>
  <c r="J50" i="4"/>
  <c r="V50" i="4" s="1"/>
  <c r="W50" i="4" s="1"/>
  <c r="J27" i="4"/>
  <c r="V27" i="4" s="1"/>
  <c r="J6" i="4"/>
  <c r="J15" i="4"/>
  <c r="V15" i="4" s="1"/>
  <c r="W15" i="4" s="1"/>
  <c r="J13" i="4"/>
  <c r="J16" i="4"/>
  <c r="J36" i="4"/>
  <c r="J57" i="4"/>
  <c r="J48" i="4"/>
  <c r="J11" i="4"/>
  <c r="J24" i="4"/>
  <c r="V24" i="4" s="1"/>
  <c r="W24" i="4" s="1"/>
  <c r="L15" i="4"/>
  <c r="L36" i="4"/>
  <c r="L11" i="4"/>
  <c r="L24" i="4"/>
  <c r="L57" i="4"/>
  <c r="L13" i="4"/>
  <c r="L16" i="4"/>
  <c r="L42" i="4"/>
  <c r="L48" i="4"/>
  <c r="K50" i="1"/>
  <c r="L57" i="2"/>
  <c r="L52" i="2"/>
  <c r="L37" i="2"/>
  <c r="L21" i="2"/>
  <c r="J38" i="2"/>
  <c r="J22" i="2"/>
  <c r="K27" i="4" l="1"/>
  <c r="W27" i="4"/>
  <c r="K15" i="4"/>
  <c r="K57" i="4"/>
  <c r="V48" i="4"/>
  <c r="W48" i="4" s="1"/>
  <c r="K36" i="4"/>
  <c r="K11" i="4"/>
  <c r="V11" i="4"/>
  <c r="W11" i="4" s="1"/>
  <c r="K16" i="4"/>
  <c r="V16" i="4"/>
  <c r="W16" i="4" s="1"/>
  <c r="K13" i="4"/>
  <c r="K24" i="4"/>
  <c r="E30" i="2"/>
  <c r="D30" i="2"/>
  <c r="E32" i="2"/>
  <c r="D32" i="2"/>
  <c r="D28" i="2"/>
  <c r="D29" i="2"/>
  <c r="D31" i="2"/>
  <c r="E28" i="2"/>
  <c r="E29" i="2"/>
  <c r="E31" i="2"/>
  <c r="L28" i="2"/>
  <c r="D45" i="2"/>
  <c r="D49" i="2"/>
  <c r="D44" i="2"/>
  <c r="D26" i="2"/>
  <c r="D34" i="2"/>
  <c r="D46" i="2"/>
  <c r="D50" i="2"/>
  <c r="D41" i="2"/>
  <c r="D23" i="2"/>
  <c r="D27" i="2"/>
  <c r="D35" i="2"/>
  <c r="D47" i="2"/>
  <c r="D51" i="2"/>
  <c r="D42" i="2"/>
  <c r="D24" i="2"/>
  <c r="D36" i="2"/>
  <c r="D48" i="2"/>
  <c r="D43" i="2"/>
  <c r="D25" i="2"/>
  <c r="D33" i="2"/>
  <c r="E41" i="2"/>
  <c r="L23" i="2"/>
  <c r="L34" i="2"/>
  <c r="L40" i="2"/>
  <c r="L49" i="2"/>
  <c r="L35" i="2"/>
  <c r="L42" i="2"/>
  <c r="L46" i="2"/>
  <c r="L50" i="2"/>
  <c r="L20" i="2"/>
  <c r="L36" i="2"/>
  <c r="L10" i="2"/>
  <c r="L43" i="2"/>
  <c r="L47" i="2"/>
  <c r="L26" i="2"/>
  <c r="L33" i="2"/>
  <c r="L39" i="2"/>
  <c r="L44" i="2"/>
  <c r="L48" i="2"/>
  <c r="L45" i="2"/>
  <c r="M50" i="1"/>
  <c r="K54" i="1"/>
  <c r="E44" i="2"/>
  <c r="E48" i="2"/>
  <c r="E50" i="2"/>
  <c r="E42" i="2"/>
  <c r="E49" i="2"/>
  <c r="E43" i="2"/>
  <c r="E46" i="2"/>
  <c r="E35" i="2"/>
  <c r="E24" i="2"/>
  <c r="E26" i="2"/>
  <c r="E23" i="2"/>
  <c r="E25" i="2"/>
  <c r="E27" i="2"/>
  <c r="V57" i="4" l="1"/>
  <c r="W57" i="4" s="1"/>
  <c r="V36" i="4"/>
  <c r="W36" i="4" s="1"/>
  <c r="V13" i="4"/>
  <c r="W13" i="4" s="1"/>
  <c r="V6" i="4"/>
  <c r="W6" i="4" s="1"/>
  <c r="G8" i="6"/>
  <c r="L30" i="2"/>
  <c r="G30" i="2"/>
  <c r="L32" i="2"/>
  <c r="G32" i="2"/>
  <c r="L27" i="2"/>
  <c r="G28" i="2"/>
  <c r="L25" i="2"/>
  <c r="L29" i="2"/>
  <c r="G29" i="2"/>
  <c r="L24" i="2"/>
  <c r="L31" i="2"/>
  <c r="G31" i="2"/>
  <c r="L41" i="2"/>
  <c r="G41" i="2"/>
  <c r="L15" i="2"/>
  <c r="G15" i="2"/>
  <c r="L11" i="2"/>
  <c r="G11" i="2"/>
  <c r="G50" i="2"/>
  <c r="G48" i="2"/>
  <c r="G40" i="2"/>
  <c r="G49" i="2"/>
  <c r="G43" i="2"/>
  <c r="G42" i="2"/>
  <c r="G44" i="2"/>
  <c r="G20" i="2"/>
  <c r="G46" i="2"/>
  <c r="G25" i="2"/>
  <c r="G34" i="2"/>
  <c r="G26" i="2"/>
  <c r="G27" i="2"/>
  <c r="G24" i="2"/>
  <c r="G35" i="2"/>
  <c r="G23" i="2"/>
  <c r="J46" i="2" l="1"/>
  <c r="V46" i="2" s="1"/>
  <c r="W46" i="2" s="1"/>
  <c r="J44" i="2"/>
  <c r="V44" i="2" s="1"/>
  <c r="W44" i="2" s="1"/>
  <c r="J26" i="2"/>
  <c r="V26" i="2" s="1"/>
  <c r="W26" i="2" s="1"/>
  <c r="J28" i="2"/>
  <c r="V28" i="2" s="1"/>
  <c r="W28" i="2" s="1"/>
  <c r="J34" i="2"/>
  <c r="V34" i="2" s="1"/>
  <c r="W34" i="2" s="1"/>
  <c r="J20" i="2"/>
  <c r="V20" i="2" s="1"/>
  <c r="J42" i="2"/>
  <c r="V42" i="2" s="1"/>
  <c r="W42" i="2" s="1"/>
  <c r="J49" i="2"/>
  <c r="V49" i="2" s="1"/>
  <c r="W49" i="2" s="1"/>
  <c r="J35" i="2"/>
  <c r="V35" i="2" s="1"/>
  <c r="W35" i="2" s="1"/>
  <c r="J40" i="2"/>
  <c r="V40" i="2" s="1"/>
  <c r="W40" i="2" s="1"/>
  <c r="J48" i="2"/>
  <c r="V48" i="2" s="1"/>
  <c r="W48" i="2" s="1"/>
  <c r="J50" i="2"/>
  <c r="V50" i="2" s="1"/>
  <c r="W50" i="2" s="1"/>
  <c r="J8" i="6"/>
  <c r="K8" i="6" s="1"/>
  <c r="J25" i="2"/>
  <c r="J23" i="2"/>
  <c r="J43" i="2"/>
  <c r="J24" i="2"/>
  <c r="J27" i="2"/>
  <c r="J11" i="2"/>
  <c r="J15" i="2"/>
  <c r="J31" i="2"/>
  <c r="J32" i="2"/>
  <c r="J41" i="2"/>
  <c r="V41" i="2" s="1"/>
  <c r="W41" i="2" s="1"/>
  <c r="J30" i="2"/>
  <c r="J29" i="2"/>
  <c r="G19" i="6"/>
  <c r="K26" i="2" l="1"/>
  <c r="K49" i="2"/>
  <c r="K42" i="2"/>
  <c r="K40" i="2"/>
  <c r="K28" i="2"/>
  <c r="K48" i="2"/>
  <c r="K50" i="2"/>
  <c r="K34" i="2"/>
  <c r="K35" i="2"/>
  <c r="K44" i="2"/>
  <c r="W20" i="2"/>
  <c r="V8" i="6"/>
  <c r="P19" i="6"/>
  <c r="I17" i="11" s="1"/>
  <c r="K43" i="2"/>
  <c r="K31" i="2"/>
  <c r="K24" i="2"/>
  <c r="K27" i="2"/>
  <c r="K32" i="2"/>
  <c r="V32" i="2"/>
  <c r="W32" i="2" s="1"/>
  <c r="V23" i="2"/>
  <c r="W23" i="2" s="1"/>
  <c r="K29" i="2"/>
  <c r="K25" i="2"/>
  <c r="K23" i="2"/>
  <c r="K30" i="2"/>
  <c r="V11" i="2"/>
  <c r="W11" i="2" s="1"/>
  <c r="V15" i="2"/>
  <c r="G5" i="14"/>
  <c r="G6" i="14"/>
  <c r="G7" i="14"/>
  <c r="G8" i="14"/>
  <c r="G9" i="14"/>
  <c r="G10" i="14"/>
  <c r="G11" i="14"/>
  <c r="G12" i="14"/>
  <c r="G13" i="14"/>
  <c r="G14" i="14"/>
  <c r="G15" i="14"/>
  <c r="G16" i="14"/>
  <c r="G17" i="14"/>
  <c r="G18" i="14"/>
  <c r="G19" i="14"/>
  <c r="G20" i="14"/>
  <c r="G21" i="14"/>
  <c r="G22" i="14"/>
  <c r="G23" i="14"/>
  <c r="G24" i="14"/>
  <c r="G25" i="14"/>
  <c r="G26" i="14"/>
  <c r="G27" i="14"/>
  <c r="G28" i="14"/>
  <c r="G4" i="14"/>
  <c r="K28" i="14"/>
  <c r="L28" i="14" s="1"/>
  <c r="K27" i="14"/>
  <c r="L27" i="14" s="1"/>
  <c r="K26" i="14"/>
  <c r="L26" i="14" s="1"/>
  <c r="K25" i="14"/>
  <c r="L25" i="14" s="1"/>
  <c r="K24" i="14"/>
  <c r="L24" i="14" s="1"/>
  <c r="K23" i="14"/>
  <c r="L23" i="14" s="1"/>
  <c r="K22" i="14"/>
  <c r="L22" i="14" s="1"/>
  <c r="K21" i="14"/>
  <c r="L21" i="14" s="1"/>
  <c r="K20" i="14"/>
  <c r="L20" i="14" s="1"/>
  <c r="K19" i="14"/>
  <c r="L19" i="14" s="1"/>
  <c r="K18" i="14"/>
  <c r="L18" i="14" s="1"/>
  <c r="K17" i="14"/>
  <c r="L17" i="14" s="1"/>
  <c r="K16" i="14"/>
  <c r="L16" i="14" s="1"/>
  <c r="K15" i="14"/>
  <c r="L15" i="14" s="1"/>
  <c r="K14" i="14"/>
  <c r="L14" i="14" s="1"/>
  <c r="K13" i="14"/>
  <c r="L13" i="14" s="1"/>
  <c r="K12" i="14"/>
  <c r="L12" i="14" s="1"/>
  <c r="K11" i="14"/>
  <c r="L11" i="14" s="1"/>
  <c r="K10" i="14"/>
  <c r="L10" i="14" s="1"/>
  <c r="K9" i="14"/>
  <c r="L9" i="14" s="1"/>
  <c r="K8" i="14"/>
  <c r="L8" i="14" s="1"/>
  <c r="K7" i="14"/>
  <c r="L7" i="14" s="1"/>
  <c r="K6" i="14"/>
  <c r="L6" i="14" s="1"/>
  <c r="K5" i="14"/>
  <c r="L5" i="14" s="1"/>
  <c r="K4" i="14"/>
  <c r="L4" i="14" s="1"/>
  <c r="U19" i="6" l="1"/>
  <c r="J17" i="11" s="1"/>
  <c r="V43" i="2"/>
  <c r="W43" i="2" s="1"/>
  <c r="V30" i="2"/>
  <c r="W30" i="2" s="1"/>
  <c r="V27" i="2"/>
  <c r="W27" i="2" s="1"/>
  <c r="V24" i="2"/>
  <c r="W24" i="2" s="1"/>
  <c r="V25" i="2"/>
  <c r="W25" i="2" s="1"/>
  <c r="V31" i="2"/>
  <c r="W31" i="2" s="1"/>
  <c r="V29" i="2"/>
  <c r="W29" i="2" s="1"/>
  <c r="W15" i="2"/>
  <c r="W8" i="6"/>
  <c r="G29" i="14"/>
  <c r="L29" i="14"/>
  <c r="E33" i="11" s="1"/>
  <c r="U25" i="14" l="1"/>
  <c r="V25" i="14" s="1"/>
  <c r="U7" i="14"/>
  <c r="V7" i="14" s="1"/>
  <c r="U20" i="14"/>
  <c r="V20" i="14" s="1"/>
  <c r="U24" i="14"/>
  <c r="V24" i="14" s="1"/>
  <c r="U12" i="14"/>
  <c r="V12" i="14"/>
  <c r="U6" i="14"/>
  <c r="V6" i="14" s="1"/>
  <c r="U13" i="14"/>
  <c r="V13" i="14" s="1"/>
  <c r="U8" i="14"/>
  <c r="V8" i="14" s="1"/>
  <c r="U11" i="14"/>
  <c r="V11" i="14" s="1"/>
  <c r="U23" i="14"/>
  <c r="V23" i="14" s="1"/>
  <c r="U17" i="14"/>
  <c r="V17" i="14" s="1"/>
  <c r="U19" i="14"/>
  <c r="V19" i="14" s="1"/>
  <c r="U9" i="14"/>
  <c r="V9" i="14" s="1"/>
  <c r="U22" i="14"/>
  <c r="V22" i="14" s="1"/>
  <c r="U16" i="14"/>
  <c r="V16" i="14"/>
  <c r="U18" i="14"/>
  <c r="V18" i="14"/>
  <c r="U28" i="14"/>
  <c r="V28" i="14"/>
  <c r="U10" i="14"/>
  <c r="V10" i="14" s="1"/>
  <c r="U27" i="14"/>
  <c r="V27" i="14" s="1"/>
  <c r="U5" i="14"/>
  <c r="V5" i="14" s="1"/>
  <c r="O29" i="14"/>
  <c r="I33" i="11" s="1"/>
  <c r="U15" i="14"/>
  <c r="V15" i="14" s="1"/>
  <c r="U21" i="14"/>
  <c r="V21" i="14" s="1"/>
  <c r="U26" i="14"/>
  <c r="V26" i="14"/>
  <c r="U14" i="14"/>
  <c r="V14" i="14" s="1"/>
  <c r="T29" i="14"/>
  <c r="U4" i="14"/>
  <c r="V4" i="14" s="1"/>
  <c r="I28" i="13"/>
  <c r="I27" i="13"/>
  <c r="I26" i="13"/>
  <c r="I25" i="13"/>
  <c r="I24" i="13"/>
  <c r="I23" i="13"/>
  <c r="I22" i="13"/>
  <c r="I21" i="13"/>
  <c r="I20" i="13"/>
  <c r="I19" i="13"/>
  <c r="I18" i="13"/>
  <c r="I17" i="13"/>
  <c r="I16" i="13"/>
  <c r="I15" i="13"/>
  <c r="I14" i="13"/>
  <c r="I13" i="13"/>
  <c r="I12" i="13"/>
  <c r="I11" i="13"/>
  <c r="I10" i="13"/>
  <c r="I9" i="13"/>
  <c r="I8" i="13"/>
  <c r="I7" i="13"/>
  <c r="I6" i="13"/>
  <c r="I5" i="13"/>
  <c r="I4" i="13"/>
  <c r="F45" i="11"/>
  <c r="E39" i="11"/>
  <c r="J33" i="11" l="1"/>
  <c r="U29" i="14"/>
  <c r="I29" i="13"/>
  <c r="E34" i="11"/>
  <c r="E40" i="11"/>
  <c r="V29" i="14" l="1"/>
  <c r="E41" i="11"/>
  <c r="Q4" i="1" l="1"/>
  <c r="Q20" i="1" s="1"/>
  <c r="J19" i="6" l="1"/>
  <c r="V19" i="6" l="1"/>
  <c r="E17" i="11"/>
  <c r="K19" i="6"/>
  <c r="F17" i="11" s="1"/>
  <c r="G6" i="2"/>
  <c r="J6" i="2" l="1"/>
  <c r="K6" i="2" s="1"/>
  <c r="W19" i="6"/>
  <c r="G55" i="4"/>
  <c r="G47" i="4"/>
  <c r="G46" i="4"/>
  <c r="G8" i="4"/>
  <c r="G35" i="4"/>
  <c r="G37" i="4"/>
  <c r="G38" i="4"/>
  <c r="G20" i="4"/>
  <c r="G10" i="4"/>
  <c r="G29" i="4"/>
  <c r="G26" i="4"/>
  <c r="G23" i="4"/>
  <c r="G7" i="4"/>
  <c r="G9" i="4"/>
  <c r="K20" i="2"/>
  <c r="V6" i="2" l="1"/>
  <c r="W6" i="2" s="1"/>
  <c r="P21" i="4"/>
  <c r="P39" i="4"/>
  <c r="I25" i="11" s="1"/>
  <c r="G21" i="4"/>
  <c r="J23" i="4"/>
  <c r="G39" i="4"/>
  <c r="J46" i="4"/>
  <c r="J8" i="4"/>
  <c r="J26" i="4"/>
  <c r="J38" i="4"/>
  <c r="J7" i="4"/>
  <c r="J47" i="4"/>
  <c r="J20" i="4"/>
  <c r="J9" i="4"/>
  <c r="J29" i="4"/>
  <c r="J37" i="4"/>
  <c r="J10" i="4"/>
  <c r="J35" i="4"/>
  <c r="J55" i="4"/>
  <c r="K6" i="4"/>
  <c r="I24" i="11" l="1"/>
  <c r="K47" i="4"/>
  <c r="K55" i="4"/>
  <c r="K46" i="4"/>
  <c r="K35" i="4"/>
  <c r="K23" i="4"/>
  <c r="J39" i="4"/>
  <c r="E25" i="11" s="1"/>
  <c r="K37" i="4"/>
  <c r="V37" i="4"/>
  <c r="W37" i="4" s="1"/>
  <c r="K29" i="4"/>
  <c r="K38" i="4"/>
  <c r="K26" i="4"/>
  <c r="K9" i="4"/>
  <c r="K20" i="4"/>
  <c r="V20" i="4"/>
  <c r="W20" i="4" s="1"/>
  <c r="K8" i="4"/>
  <c r="V8" i="4"/>
  <c r="W8" i="4" s="1"/>
  <c r="J21" i="4"/>
  <c r="E24" i="11" s="1"/>
  <c r="K10" i="4"/>
  <c r="V10" i="4"/>
  <c r="W10" i="4" s="1"/>
  <c r="K7" i="4"/>
  <c r="V46" i="4" l="1"/>
  <c r="W46" i="4" s="1"/>
  <c r="V55" i="4"/>
  <c r="W55" i="4" s="1"/>
  <c r="V47" i="4"/>
  <c r="W47" i="4" s="1"/>
  <c r="U39" i="4"/>
  <c r="J25" i="11" s="1"/>
  <c r="V23" i="4"/>
  <c r="W23" i="4" s="1"/>
  <c r="V35" i="4"/>
  <c r="W35" i="4" s="1"/>
  <c r="V29" i="4"/>
  <c r="W29" i="4" s="1"/>
  <c r="V26" i="4"/>
  <c r="W26" i="4" s="1"/>
  <c r="V38" i="4"/>
  <c r="W38" i="4" s="1"/>
  <c r="V7" i="4"/>
  <c r="W7" i="4" s="1"/>
  <c r="U21" i="4"/>
  <c r="J24" i="11" s="1"/>
  <c r="V9" i="4"/>
  <c r="W9" i="4" s="1"/>
  <c r="K21" i="4"/>
  <c r="F24" i="11" s="1"/>
  <c r="K39" i="4"/>
  <c r="F25" i="11" s="1"/>
  <c r="V39" i="4" l="1"/>
  <c r="W39" i="4" s="1"/>
  <c r="V21" i="4"/>
  <c r="W21" i="4" s="1"/>
  <c r="E60" i="4"/>
  <c r="J60" i="4" s="1"/>
  <c r="E56" i="4"/>
  <c r="E51" i="4"/>
  <c r="E49" i="4"/>
  <c r="E43" i="4"/>
  <c r="J61" i="4"/>
  <c r="E41" i="4"/>
  <c r="V61" i="4" l="1"/>
  <c r="W61" i="4" s="1"/>
  <c r="J62" i="4"/>
  <c r="E28" i="11" s="1"/>
  <c r="G41" i="4"/>
  <c r="G52" i="4"/>
  <c r="G51" i="4"/>
  <c r="G43" i="4"/>
  <c r="G49" i="4"/>
  <c r="G61" i="4"/>
  <c r="G56" i="4"/>
  <c r="G60" i="4"/>
  <c r="G53" i="4"/>
  <c r="K61" i="4" l="1"/>
  <c r="P62" i="4"/>
  <c r="I28" i="11" s="1"/>
  <c r="P58" i="4"/>
  <c r="I27" i="11" s="1"/>
  <c r="P44" i="4"/>
  <c r="U62" i="4"/>
  <c r="J28" i="11" s="1"/>
  <c r="V60" i="4"/>
  <c r="W60" i="4" s="1"/>
  <c r="G44" i="4"/>
  <c r="J49" i="4"/>
  <c r="G58" i="4"/>
  <c r="G62" i="4"/>
  <c r="K62" i="4" s="1"/>
  <c r="J56" i="4"/>
  <c r="J53" i="4"/>
  <c r="J41" i="4"/>
  <c r="J43" i="4"/>
  <c r="J51" i="4"/>
  <c r="J52" i="4"/>
  <c r="K60" i="4"/>
  <c r="E60" i="1"/>
  <c r="G60" i="1"/>
  <c r="G61" i="1" s="1"/>
  <c r="M60" i="1"/>
  <c r="K60" i="1"/>
  <c r="K61" i="1" s="1"/>
  <c r="I60" i="1"/>
  <c r="C60" i="1"/>
  <c r="C61" i="1" s="1"/>
  <c r="I26" i="11" l="1"/>
  <c r="P63" i="4"/>
  <c r="V62" i="4"/>
  <c r="W62" i="4" s="1"/>
  <c r="K52" i="4"/>
  <c r="V51" i="4"/>
  <c r="W51" i="4" s="1"/>
  <c r="K53" i="4"/>
  <c r="K56" i="4"/>
  <c r="K49" i="4"/>
  <c r="J58" i="4"/>
  <c r="K58" i="4" s="1"/>
  <c r="K43" i="4"/>
  <c r="V43" i="4"/>
  <c r="W43" i="4" s="1"/>
  <c r="J44" i="4"/>
  <c r="E26" i="11" s="1"/>
  <c r="F28" i="11"/>
  <c r="K51" i="4"/>
  <c r="K41" i="4"/>
  <c r="G63" i="4"/>
  <c r="V49" i="4" l="1"/>
  <c r="W49" i="4" s="1"/>
  <c r="U58" i="4"/>
  <c r="V56" i="4"/>
  <c r="W56" i="4" s="1"/>
  <c r="V53" i="4"/>
  <c r="W53" i="4" s="1"/>
  <c r="J63" i="4"/>
  <c r="V52" i="4"/>
  <c r="W52" i="4" s="1"/>
  <c r="U44" i="4"/>
  <c r="J26" i="11" s="1"/>
  <c r="V41" i="4"/>
  <c r="W41" i="4" s="1"/>
  <c r="F27" i="11"/>
  <c r="K44" i="4"/>
  <c r="F26" i="11" s="1"/>
  <c r="E27" i="11"/>
  <c r="U57" i="1"/>
  <c r="U60" i="1" s="1"/>
  <c r="Q57" i="1"/>
  <c r="Q60" i="1" s="1"/>
  <c r="U39" i="1"/>
  <c r="U54" i="1" s="1"/>
  <c r="Q39" i="1"/>
  <c r="Q54" i="1" s="1"/>
  <c r="U4" i="1"/>
  <c r="U20" i="1" s="1"/>
  <c r="K63" i="4" l="1"/>
  <c r="F23" i="11" s="1"/>
  <c r="V58" i="4"/>
  <c r="W58" i="4" s="1"/>
  <c r="J27" i="11"/>
  <c r="V44" i="4"/>
  <c r="W44" i="4" s="1"/>
  <c r="U63" i="4"/>
  <c r="Q61" i="1"/>
  <c r="V63" i="4" l="1"/>
  <c r="U61" i="1"/>
  <c r="E47" i="2"/>
  <c r="E45" i="2"/>
  <c r="E36" i="2"/>
  <c r="E33" i="2"/>
  <c r="W63" i="4" l="1"/>
  <c r="G33" i="2"/>
  <c r="G39" i="2"/>
  <c r="G45" i="2"/>
  <c r="G51" i="2"/>
  <c r="G36" i="2"/>
  <c r="G47" i="2"/>
  <c r="M39" i="1"/>
  <c r="M54" i="1" s="1"/>
  <c r="I39" i="1"/>
  <c r="I54" i="1" s="1"/>
  <c r="E39" i="1"/>
  <c r="E54" i="1" s="1"/>
  <c r="M37" i="1"/>
  <c r="I37" i="1"/>
  <c r="M4" i="1"/>
  <c r="M20" i="1" s="1"/>
  <c r="I4" i="1"/>
  <c r="I20" i="1" s="1"/>
  <c r="E4" i="1"/>
  <c r="E20" i="1" s="1"/>
  <c r="J47" i="2" l="1"/>
  <c r="V47" i="2" s="1"/>
  <c r="W47" i="2" s="1"/>
  <c r="J36" i="2"/>
  <c r="V36" i="2" s="1"/>
  <c r="W36" i="2" s="1"/>
  <c r="P37" i="2"/>
  <c r="I20" i="11" s="1"/>
  <c r="J51" i="2"/>
  <c r="V51" i="2" s="1"/>
  <c r="W51" i="2" s="1"/>
  <c r="J39" i="2"/>
  <c r="V39" i="2" s="1"/>
  <c r="W39" i="2" s="1"/>
  <c r="G37" i="2"/>
  <c r="J45" i="2"/>
  <c r="J33" i="2"/>
  <c r="I61" i="1"/>
  <c r="E61" i="1"/>
  <c r="M61" i="1"/>
  <c r="G7" i="2"/>
  <c r="G10" i="2"/>
  <c r="G52" i="2"/>
  <c r="K36" i="2" l="1"/>
  <c r="K47" i="2"/>
  <c r="P52" i="2"/>
  <c r="I21" i="11" s="1"/>
  <c r="J10" i="2"/>
  <c r="V10" i="2" s="1"/>
  <c r="W10" i="2" s="1"/>
  <c r="J7" i="2"/>
  <c r="K39" i="2"/>
  <c r="K51" i="2"/>
  <c r="K45" i="2"/>
  <c r="U52" i="2"/>
  <c r="J37" i="2"/>
  <c r="E20" i="11" s="1"/>
  <c r="J52" i="2"/>
  <c r="E21" i="11" s="1"/>
  <c r="K56" i="2"/>
  <c r="F22" i="11" s="1"/>
  <c r="K33" i="2"/>
  <c r="G21" i="2"/>
  <c r="G57" i="2" s="1"/>
  <c r="P21" i="2" l="1"/>
  <c r="I19" i="11" s="1"/>
  <c r="I35" i="11" s="1"/>
  <c r="K10" i="2"/>
  <c r="J21" i="2"/>
  <c r="E19" i="11" s="1"/>
  <c r="E35" i="11" s="1"/>
  <c r="K7" i="2"/>
  <c r="V7" i="2"/>
  <c r="W7" i="2" s="1"/>
  <c r="J21" i="11"/>
  <c r="V52" i="2"/>
  <c r="W52" i="2" s="1"/>
  <c r="V45" i="2"/>
  <c r="W45" i="2" s="1"/>
  <c r="K37" i="2"/>
  <c r="F20" i="11" s="1"/>
  <c r="V33" i="2"/>
  <c r="W33" i="2" s="1"/>
  <c r="U37" i="2"/>
  <c r="K52" i="2"/>
  <c r="F21" i="11" s="1"/>
  <c r="J57" i="2" l="1"/>
  <c r="K21" i="2"/>
  <c r="F19" i="11" s="1"/>
  <c r="P57" i="2"/>
  <c r="U21" i="2"/>
  <c r="V21" i="2" s="1"/>
  <c r="W21" i="2" s="1"/>
  <c r="V37" i="2"/>
  <c r="W37" i="2" s="1"/>
  <c r="J20" i="11"/>
  <c r="F39" i="11"/>
  <c r="E45" i="11" s="1"/>
  <c r="F40" i="11"/>
  <c r="F54" i="11"/>
  <c r="K57" i="2" l="1"/>
  <c r="F18" i="11" s="1"/>
  <c r="U57" i="2"/>
  <c r="J19" i="11"/>
  <c r="F52" i="11"/>
  <c r="E52" i="11" s="1"/>
  <c r="F47" i="11"/>
  <c r="F46" i="11" s="1"/>
  <c r="E46" i="11" s="1"/>
  <c r="E47" i="11" s="1"/>
  <c r="F41" i="11"/>
  <c r="V57" i="2" l="1"/>
  <c r="J35" i="11"/>
  <c r="F53" i="11"/>
  <c r="E53" i="11" s="1"/>
  <c r="E54" i="11" s="1"/>
  <c r="W57" i="2" l="1"/>
</calcChain>
</file>

<file path=xl/sharedStrings.xml><?xml version="1.0" encoding="utf-8"?>
<sst xmlns="http://schemas.openxmlformats.org/spreadsheetml/2006/main" count="1028" uniqueCount="486">
  <si>
    <t>תקן ריהוט וציוד לדיור קהילתי</t>
  </si>
  <si>
    <t xml:space="preserve">פירוט הגליונות / שורות מוסתרים </t>
  </si>
  <si>
    <t>א. גיליון נוסחאות - מוסתר כולו</t>
  </si>
  <si>
    <t xml:space="preserve">ב. סיווג דירות - מוסתר בשני גליונות בתאים  G1-G2  (נכתב בלבן על רקע לבן): </t>
  </si>
  <si>
    <t xml:space="preserve">     </t>
  </si>
  <si>
    <t>גיליון דירה קהילתית-חללים משותפים</t>
  </si>
  <si>
    <t>גיליון בית שיתופי - חללים משותפים</t>
  </si>
  <si>
    <t xml:space="preserve">ג. גיליון סיכום לוועדה - הסתרות </t>
  </si>
  <si>
    <t>ג.1 תא  G7 - תקציב קול קורא - הוסתר</t>
  </si>
  <si>
    <t xml:space="preserve">      נרשם בו תקציב בסכום של מיליון ש"ח</t>
  </si>
  <si>
    <t>ג. 2 שתי טבלאות עבודה-שורות  37-48 הוסתרו</t>
  </si>
  <si>
    <t>מחירון והערות</t>
  </si>
  <si>
    <t>סוג הריהוט/ציוד</t>
  </si>
  <si>
    <t>עד 4</t>
  </si>
  <si>
    <t>עד 6</t>
  </si>
  <si>
    <t>עד 8</t>
  </si>
  <si>
    <t>עד 16</t>
  </si>
  <si>
    <t>עד 24</t>
  </si>
  <si>
    <t>תאור</t>
  </si>
  <si>
    <t>מחיר בש"ח</t>
  </si>
  <si>
    <t>כמות</t>
  </si>
  <si>
    <t>עלות מקסימלית</t>
  </si>
  <si>
    <t>כלי בישול אחסון הגשה וניקוי</t>
  </si>
  <si>
    <t>-</t>
  </si>
  <si>
    <t>מיקרוגל</t>
  </si>
  <si>
    <t>מעבד מזון</t>
  </si>
  <si>
    <t>מקרר</t>
  </si>
  <si>
    <t>פלטת חימום לשבת</t>
  </si>
  <si>
    <t>קומקום חשמלי</t>
  </si>
  <si>
    <t>קונווקטומט/ קומביסטימר</t>
  </si>
  <si>
    <t>מיחם חשמלי</t>
  </si>
  <si>
    <t>פינת אוכל</t>
  </si>
  <si>
    <t xml:space="preserve">מדיח כלים </t>
  </si>
  <si>
    <t>ביתי</t>
  </si>
  <si>
    <t>תעשייתי</t>
  </si>
  <si>
    <t>מכשיר לטיגון/ בישול ללא שמן</t>
  </si>
  <si>
    <t>מקפיא</t>
  </si>
  <si>
    <t>מקפיא בלבד 700 ליטר</t>
  </si>
  <si>
    <t>סה"כ מטבח</t>
  </si>
  <si>
    <t>וילונות חסיני אש</t>
  </si>
  <si>
    <t>גודל לפי צרכי המקום</t>
  </si>
  <si>
    <t>מערכת שמע</t>
  </si>
  <si>
    <t xml:space="preserve"> באזורים משותפים</t>
  </si>
  <si>
    <t>מנעול חכם כולל התקנה</t>
  </si>
  <si>
    <t>לדלת כניסה לדירה</t>
  </si>
  <si>
    <t>פעמון כניסה + מצלמה</t>
  </si>
  <si>
    <t>מאושר ע"י מת"י</t>
  </si>
  <si>
    <t xml:space="preserve">  2.5 כ"ס</t>
  </si>
  <si>
    <t xml:space="preserve"> 3.5 כ"ס</t>
  </si>
  <si>
    <t>מחשב קומפלט</t>
  </si>
  <si>
    <t>נייח או נייד לפי הצורך</t>
  </si>
  <si>
    <t>מדפסת משולבת</t>
  </si>
  <si>
    <t>סלון</t>
  </si>
  <si>
    <t>1+2+3</t>
  </si>
  <si>
    <t>1+2+3+3</t>
  </si>
  <si>
    <t xml:space="preserve">  1+2+3+3</t>
  </si>
  <si>
    <t>סה"כ סלון</t>
  </si>
  <si>
    <t>מגהץ + קרש</t>
  </si>
  <si>
    <t>מייבש כביסה</t>
  </si>
  <si>
    <t>מכונת כביסה</t>
  </si>
  <si>
    <t xml:space="preserve">ארגז כלי עבודה </t>
  </si>
  <si>
    <t>דפיבריליאטור</t>
  </si>
  <si>
    <t>6 ק"ג</t>
  </si>
  <si>
    <t>תאורת חירום</t>
  </si>
  <si>
    <t>2 סטים</t>
  </si>
  <si>
    <t>3 סטים</t>
  </si>
  <si>
    <t>סולם</t>
  </si>
  <si>
    <t>4 שלבים</t>
  </si>
  <si>
    <t>סה"כ ציוד נוסף</t>
  </si>
  <si>
    <t>משטחי גומי</t>
  </si>
  <si>
    <t>ציוד תחזוקת חצר וגינה</t>
  </si>
  <si>
    <t>סה"כ ציוד חצר</t>
  </si>
  <si>
    <t>סה"כ ריהוט וציוד נוסף (עבור לדירה בקהילה)</t>
  </si>
  <si>
    <t>קרנות הביטוח הלאומי</t>
  </si>
  <si>
    <t>הקרן לפיתוח שירותים לנכים</t>
  </si>
  <si>
    <t xml:space="preserve">תקן ריהוט וציוד לדיור  קהילתי </t>
  </si>
  <si>
    <t xml:space="preserve">הקרן מעניקה סיוע למסגרות דיור מוגן קהילתי לאנשים עם צרכים מיוחדים לצורך הצטיידות. הזכות לדיור נאות הינה חלק מזכויות האדם, לה זכאים אנשים עם מוגבלות וללא מוגבלות כאחד. אנשים עם מוגבלות זקוקים, בחלקם, למעטפת טיפולית מסוגים שונים. עזרה כזו היא נגזרת של מסגרת הדיור בה ניתן להפעיל מערך טיפולי המותאם ליכולת התפקוד והעצמאות של אנשים עם מוגבלות.
רצף הפתרונות יכול לנוע מדירת לוויין בקצה הקל של המעטפת הטיפולית ועד לדיור בהוסטל בו ישנן תשומות טיפוליות במשך כל שעות היממה, לאורך כל השבוע. </t>
  </si>
  <si>
    <t xml:space="preserve">הסיוע בהצטיידות ניתן לבניית פלטפורמה שיקומית המאפשרת דיור ברמה גבוהה: דירות אסתטיות, מאובזרות היטב בכל הנדרש לחיים נורמטיביים עם דגש על רהיטים איכותיים ועיצוב פנים.
שיפור איכות הטיפול לדיירים ולצוות במסגרות המוקמות על ידי הצטיידות מותאמת, פונקציונלית ואיכותית.
</t>
  </si>
  <si>
    <t>תקן זה, המתבסס על תקן קודם,  נבדק  על ידי יועץ כלכלי מטעמנו ועל ידי סגן/ית החשב במוסד: עודכנו עלויות הציוד, נוספו פריטים ונלקחו בחשבון הצרכים המשתנים של הדיירים ושינויים באופי מערכי הדיור בשנים האחרונות.</t>
  </si>
  <si>
    <t>התקן נותן מענה לצרכים הבסיסיים הנדרשים בסוגים השונים של דיור קהילתי ומאפשר רכישה של מוצרים אלו ברמה סבירה. יש לקחת בחשבון כי הצטיידות יכולה להיעשות בטווח רחב מאוד של עלויות, ואילו העלויות המצוינות בו באות לענות על סטנדרט אשר נמצא מתאים מבחינת איכות החומרים ויכולתם להישמר לאורך זמן.</t>
  </si>
  <si>
    <t xml:space="preserve"> התקן נכתב בפורמט אקסל על מנת שיהווה כלי עבודה עבורכם לתמחורים בעת רכישת הציוד. </t>
  </si>
  <si>
    <t>התקן גמיש ומודולרי כמו כן ניתן לבצע בו המרות בתנאי שאלו יאושרו בוועדת היגוי.</t>
  </si>
  <si>
    <t xml:space="preserve"> עלויות התקן חושבו על פי מספר דיירים בדירה ובחלקן לפי מספר חדרי שינה.</t>
  </si>
  <si>
    <t>בתקן הוכנסו רכיבים מסוימים הבאים לענות על צרכים של אוכלוסיות ייעודיות: אוכלוסייה מזדקנת, אוכלוסיית אנשים אי שקטים או אנשים עם אוטיזם בתפקוד נמוך הזקוקים לפרטי ציוד עמידים במיוחד.</t>
  </si>
  <si>
    <t xml:space="preserve">סיוע הקרן בהצטיידות יינתן פעם אחת לכל דייר. הקרן איננה מחדשת ציוד.    </t>
  </si>
  <si>
    <t>הקרן ממליצה בחום  להיעזר באנשי מקצוע מתחום עיצוב פנים בעת ציוד הדירות מתוך תפיסה מקצועית  כי עיצוב מזמין, אסתטי ובעל צביון ביתי ככל שניתן הוא חלק אינטגרלי מתהליך שיקומי באשר הוא.</t>
  </si>
  <si>
    <t xml:space="preserve"> אנו מקווים כי התקן המחודש יימצא כיעיל ונח לשימוש, כמו גם ככלי עבודה טוב במהלך רכישת הציוד.</t>
  </si>
  <si>
    <t>הגשת בקשה להצטיידות לפי תקן אינה מחייבת את הקרן לאישור הבקשה, סכום ואחוז הסיוע נתונים לשיקול החלטתה הבלעדי של הקרן. אחוז הסיוע המצויין הינו מקסימלי ביחס לדירוג סוציואקונומי של הישוב.</t>
  </si>
  <si>
    <t>תוכן עניינים</t>
  </si>
  <si>
    <t>הסברים והערות לממלא הבקשה</t>
  </si>
  <si>
    <t>גיליונות הסבר והכנה</t>
  </si>
  <si>
    <t>פתיח</t>
  </si>
  <si>
    <t>יש לקרוא לפני מילוי הבקשה</t>
  </si>
  <si>
    <t>שאלון למילוי הגוף</t>
  </si>
  <si>
    <t xml:space="preserve">חובה למלא את כל הסעיפים </t>
  </si>
  <si>
    <t>גיליונות הבקשה</t>
  </si>
  <si>
    <t>חדרי שינה: ציוד וריהוט</t>
  </si>
  <si>
    <t>חדרי שינה בלבד לא כולל חללים משותפים</t>
  </si>
  <si>
    <t>דירה קהלתית: ציוד חללים משותפים (עד 8 דיירים)</t>
  </si>
  <si>
    <t>מיועד לדירות עד 8 דיירים</t>
  </si>
  <si>
    <t>בית שיתופי: ציוד חללים משותפים (מעל 8 דיירים)</t>
  </si>
  <si>
    <t>מיועד לבתים שיתופיים עם מספר דיירים מ-9 עד 24</t>
  </si>
  <si>
    <t>בית שיתופי: אופציה למטבחון וסלון קטן (מעל 8 דיירים)</t>
  </si>
  <si>
    <t>ציוד מיוחד</t>
  </si>
  <si>
    <t>ציוד מתקנים אחרים</t>
  </si>
  <si>
    <t>ציוד נוסף שלא קיים בתקן</t>
  </si>
  <si>
    <t>טבלאות סיכום</t>
  </si>
  <si>
    <t>סיכום לוועדה</t>
  </si>
  <si>
    <t>לשימוש המוסד לביטוח לאומי בלבד</t>
  </si>
  <si>
    <t>הערות והסברים למילוי הבקשה:</t>
  </si>
  <si>
    <t>נא למלא את השאלון לעיל לפני מעבר לכתב הכמויות</t>
  </si>
  <si>
    <t xml:space="preserve">כל מחירי התקן כוללים מע"מ </t>
  </si>
  <si>
    <t>המחירים כוללים הובלה והתקנה של הציוד</t>
  </si>
  <si>
    <t>שאלון למילוי ע"י  מגיש הבקשה</t>
  </si>
  <si>
    <t>פרטי הגוף המבקש</t>
  </si>
  <si>
    <t>תאריך הגשת הבקשה</t>
  </si>
  <si>
    <t>שם הגוף המבקש</t>
  </si>
  <si>
    <t>ח.פ./ מס/ עמותה של הגוף המבקש</t>
  </si>
  <si>
    <t>כתובת הגוף המבקש</t>
  </si>
  <si>
    <t>איש קשר בגוף המבקש</t>
  </si>
  <si>
    <t>טלפון איש קשר בגוף המבקש</t>
  </si>
  <si>
    <t>מייל איש קשר בגוף המבקש</t>
  </si>
  <si>
    <t>פרטי המסגרת</t>
  </si>
  <si>
    <t>שם המסגרת</t>
  </si>
  <si>
    <t>כתובת המסגרת</t>
  </si>
  <si>
    <t>איש קשר במסגרת</t>
  </si>
  <si>
    <t>טלפון איש קשר במסגרת</t>
  </si>
  <si>
    <t>מייל איש קשר במסגרת</t>
  </si>
  <si>
    <t>מאפייני המסגרת</t>
  </si>
  <si>
    <t>פרויקט ארצי</t>
  </si>
  <si>
    <t>קו עימות</t>
  </si>
  <si>
    <t>האם הגוף המבקש הינו גוף פרטי?</t>
  </si>
  <si>
    <t>מס' דירות עד 8 דיירים</t>
  </si>
  <si>
    <t>מס' דיירים בדירות עד 8 דיירים</t>
  </si>
  <si>
    <t>מס' דירות מעל 8 דיירים</t>
  </si>
  <si>
    <t>מס' דיירים בדירות מעל 8 דיירים</t>
  </si>
  <si>
    <t xml:space="preserve">מס' חדרי שינה (בכל הדירות) </t>
  </si>
  <si>
    <t>סה"כ דיירים (סכימה אוטומטית)</t>
  </si>
  <si>
    <t>במידה וישנם אנשים עם המוגבלויות הבאות יש למלא את שלושת הסעיפים הבאים</t>
  </si>
  <si>
    <t>אנשים עם לקויות מוטוריות</t>
  </si>
  <si>
    <t>אנשים עם לקויות חושיות</t>
  </si>
  <si>
    <t>אנשים בתפקוד נמוך  ו/או התנהגות מאתגרת</t>
  </si>
  <si>
    <t>האם קיימת חצר/ מרפסת?</t>
  </si>
  <si>
    <t>אם כן, שטח החצר</t>
  </si>
  <si>
    <t>מס' חדרי שינה</t>
  </si>
  <si>
    <t xml:space="preserve">סה"כ דיירים </t>
  </si>
  <si>
    <t>תקן</t>
  </si>
  <si>
    <t>מס'</t>
  </si>
  <si>
    <t>קבוצת הציוד</t>
  </si>
  <si>
    <t>סוג הריהוט / ציוד</t>
  </si>
  <si>
    <t>תקציב ליחיד לחדר שינה</t>
  </si>
  <si>
    <t>כמות התקן</t>
  </si>
  <si>
    <t>תקציב מומלץ לפי מס' דיירים</t>
  </si>
  <si>
    <t>כמות מבוקשת</t>
  </si>
  <si>
    <t>תקציב מבוקש</t>
  </si>
  <si>
    <t>סטייה מהתקן</t>
  </si>
  <si>
    <t>הערות הגוף</t>
  </si>
  <si>
    <t>אישור חריגה</t>
  </si>
  <si>
    <t>הערות מנהלת התוכנית</t>
  </si>
  <si>
    <t>ריהוט</t>
  </si>
  <si>
    <t xml:space="preserve">מוצרי חשמל </t>
  </si>
  <si>
    <t>מנורת קריאה</t>
  </si>
  <si>
    <t>מכשירים אלקטרוניים</t>
  </si>
  <si>
    <t>גודל לפי מאפייני המקום</t>
  </si>
  <si>
    <t>סוג הציוד לפי צרכי המקום</t>
  </si>
  <si>
    <t>כלי בית ואביזרים</t>
  </si>
  <si>
    <t>וילון חסין אש</t>
  </si>
  <si>
    <t>כלי מיטה ומגבות</t>
  </si>
  <si>
    <t>4 סטים למיטה + 4 מגבות + מגן מזרן + כרית + 2 שמיכות</t>
  </si>
  <si>
    <t xml:space="preserve"> סה"כ ריהוט וציוד לחדרי שינה כולל מע"מ</t>
  </si>
  <si>
    <t>סיווג הדירה</t>
  </si>
  <si>
    <t>מחיר ליחידה</t>
  </si>
  <si>
    <t xml:space="preserve">כמות תקן </t>
  </si>
  <si>
    <t>תקציב מומלץ לפי תקן</t>
  </si>
  <si>
    <t>מטבח</t>
  </si>
  <si>
    <t>2.1.1</t>
  </si>
  <si>
    <t>2.1.2</t>
  </si>
  <si>
    <t>מוצרי חשמל</t>
  </si>
  <si>
    <t xml:space="preserve">מקרר </t>
  </si>
  <si>
    <t>2.1.3</t>
  </si>
  <si>
    <t>2.1.4</t>
  </si>
  <si>
    <t>מדיח כלים</t>
  </si>
  <si>
    <t>2.1.5</t>
  </si>
  <si>
    <t>2.1.6</t>
  </si>
  <si>
    <t>2.1.7</t>
  </si>
  <si>
    <t>2.1.8</t>
  </si>
  <si>
    <t>2.1.9</t>
  </si>
  <si>
    <t>2.1.10</t>
  </si>
  <si>
    <t>2.1.11</t>
  </si>
  <si>
    <t>2.1.12</t>
  </si>
  <si>
    <t>2.1.13</t>
  </si>
  <si>
    <t>2.1.14</t>
  </si>
  <si>
    <t>כלי בישול  אחסון הגשה וניקוי</t>
  </si>
  <si>
    <t>2.1.15</t>
  </si>
  <si>
    <t>סה"כ מטבח כולל מע"מ</t>
  </si>
  <si>
    <t xml:space="preserve">סלון </t>
  </si>
  <si>
    <t>2.2.1</t>
  </si>
  <si>
    <t>2.2.2</t>
  </si>
  <si>
    <t>שולחן סלון</t>
  </si>
  <si>
    <t>2.2.3</t>
  </si>
  <si>
    <t>2.2.4</t>
  </si>
  <si>
    <t>2.2.5</t>
  </si>
  <si>
    <t>2.2.6</t>
  </si>
  <si>
    <t>2.2.7</t>
  </si>
  <si>
    <t>2.2.8</t>
  </si>
  <si>
    <t>2.2.9</t>
  </si>
  <si>
    <t>2.2.10</t>
  </si>
  <si>
    <t>2.2.11</t>
  </si>
  <si>
    <t>2.2.12</t>
  </si>
  <si>
    <t>2.2.13</t>
  </si>
  <si>
    <t xml:space="preserve">כלי בית </t>
  </si>
  <si>
    <t>2.2.14</t>
  </si>
  <si>
    <t>ואביזרים</t>
  </si>
  <si>
    <t>2.2.15</t>
  </si>
  <si>
    <t>סה"כ סלון כולל מע"מ</t>
  </si>
  <si>
    <t xml:space="preserve">ציוד כללי </t>
  </si>
  <si>
    <t>2.3.1</t>
  </si>
  <si>
    <t>ציוד חשמל</t>
  </si>
  <si>
    <t>2.3.2</t>
  </si>
  <si>
    <t>2.3.3</t>
  </si>
  <si>
    <t>2.3.4</t>
  </si>
  <si>
    <t>2.3.5</t>
  </si>
  <si>
    <t>2.3.6</t>
  </si>
  <si>
    <t>2.3.7</t>
  </si>
  <si>
    <t>2.3.8</t>
  </si>
  <si>
    <t>2.3.9</t>
  </si>
  <si>
    <t>2.3.10</t>
  </si>
  <si>
    <t>2.3.11</t>
  </si>
  <si>
    <t>2.3.12</t>
  </si>
  <si>
    <t>2.3.13</t>
  </si>
  <si>
    <t>שירות מקצועי</t>
  </si>
  <si>
    <t>2.3.14</t>
  </si>
  <si>
    <t>סה"כ ציוד כללי כולל מע"מ</t>
  </si>
  <si>
    <t>ציוד חצר/ מרפסת</t>
  </si>
  <si>
    <t>2.4.1</t>
  </si>
  <si>
    <t>2.4.2</t>
  </si>
  <si>
    <t>2.4.3</t>
  </si>
  <si>
    <t>סה"כ חצר/ מרפסת כולל מע"מ</t>
  </si>
  <si>
    <t>סה"כ חללים משותפים בדירה קהילתית כולל מע"מ</t>
  </si>
  <si>
    <t>מטבח מרכזי</t>
  </si>
  <si>
    <t>3.1.1</t>
  </si>
  <si>
    <t>3.1.2</t>
  </si>
  <si>
    <t xml:space="preserve">מקפיא </t>
  </si>
  <si>
    <t>3.1.3</t>
  </si>
  <si>
    <t>3.1.4</t>
  </si>
  <si>
    <t>3.1.5</t>
  </si>
  <si>
    <t>3.1.6</t>
  </si>
  <si>
    <t>3.1.7</t>
  </si>
  <si>
    <t>3.1.8</t>
  </si>
  <si>
    <t>3.1.9</t>
  </si>
  <si>
    <t>3.1.10</t>
  </si>
  <si>
    <t>גריל חשמלי</t>
  </si>
  <si>
    <t>3.1.11</t>
  </si>
  <si>
    <t>3.1.12</t>
  </si>
  <si>
    <t>3.1.13</t>
  </si>
  <si>
    <t>3.1.14</t>
  </si>
  <si>
    <t>3.1.15</t>
  </si>
  <si>
    <t>סה"כ מטבח מרכזי כולל מע"מ</t>
  </si>
  <si>
    <t>סלון מרכזי</t>
  </si>
  <si>
    <t>3.2.1</t>
  </si>
  <si>
    <t>3.2.2</t>
  </si>
  <si>
    <t>3.2.3</t>
  </si>
  <si>
    <t>3.2.4</t>
  </si>
  <si>
    <t>3.2.5</t>
  </si>
  <si>
    <t>3.2.6</t>
  </si>
  <si>
    <t>3.2.7</t>
  </si>
  <si>
    <t>3.2.8</t>
  </si>
  <si>
    <t>3.2.9</t>
  </si>
  <si>
    <t>3.2.10</t>
  </si>
  <si>
    <t>3.2.11</t>
  </si>
  <si>
    <t>3.2.12</t>
  </si>
  <si>
    <t>3.2.13</t>
  </si>
  <si>
    <t>3.2.14</t>
  </si>
  <si>
    <t>3.2.15</t>
  </si>
  <si>
    <t>3.2.16</t>
  </si>
  <si>
    <t>3.2.17</t>
  </si>
  <si>
    <t>סה"כ סלון מרכזי כולל מע"מ</t>
  </si>
  <si>
    <t xml:space="preserve">ציוד עזרה ראשונה </t>
  </si>
  <si>
    <t>3.3.1</t>
  </si>
  <si>
    <t>3.3.2</t>
  </si>
  <si>
    <t>3.3.3</t>
  </si>
  <si>
    <t>3.3.4</t>
  </si>
  <si>
    <t>סה"כ ציוד עזרה ראשונה  כולל מע"מ</t>
  </si>
  <si>
    <t>ציוד כללי</t>
  </si>
  <si>
    <t>3.4.1</t>
  </si>
  <si>
    <t xml:space="preserve">מכונת כביסה </t>
  </si>
  <si>
    <t>3.4.2</t>
  </si>
  <si>
    <t xml:space="preserve">מייבש כביסה </t>
  </si>
  <si>
    <t>3.4.3</t>
  </si>
  <si>
    <t>3.4.4</t>
  </si>
  <si>
    <t>3.4.5</t>
  </si>
  <si>
    <t>3.4.6</t>
  </si>
  <si>
    <t>3.4.7</t>
  </si>
  <si>
    <t>3.4.8</t>
  </si>
  <si>
    <t>3.4.9</t>
  </si>
  <si>
    <t>3.4.10</t>
  </si>
  <si>
    <t>3.4.11</t>
  </si>
  <si>
    <t>3.4.12</t>
  </si>
  <si>
    <t>3.4.13</t>
  </si>
  <si>
    <t>3.5.3</t>
  </si>
  <si>
    <t>3.5.4</t>
  </si>
  <si>
    <t>3.5.6</t>
  </si>
  <si>
    <t>סה"כ ציוד חצר כולל מע"מ</t>
  </si>
  <si>
    <t>סה"כ חללים משותפים בבתים שיתופיים/הוסטלים</t>
  </si>
  <si>
    <t>למלא רק באישור מנהל/ת התכנית</t>
  </si>
  <si>
    <t>מטבחון</t>
  </si>
  <si>
    <t>4.1.1</t>
  </si>
  <si>
    <t>4.1.2</t>
  </si>
  <si>
    <t>4.1.3</t>
  </si>
  <si>
    <t>4.1.4</t>
  </si>
  <si>
    <t>4.1.5</t>
  </si>
  <si>
    <t>4.1.6</t>
  </si>
  <si>
    <t>סה"כ ציוד מטבחון כולל מע"מ</t>
  </si>
  <si>
    <t xml:space="preserve">סלון קטן </t>
  </si>
  <si>
    <t>4.2.1</t>
  </si>
  <si>
    <t>4.2.2</t>
  </si>
  <si>
    <t>4.2.3</t>
  </si>
  <si>
    <t>4.2.4</t>
  </si>
  <si>
    <t>4.2.5</t>
  </si>
  <si>
    <t>מצלמה נוספת כולל התקנה</t>
  </si>
  <si>
    <t>4.2.6</t>
  </si>
  <si>
    <t xml:space="preserve">גלאי עשן </t>
  </si>
  <si>
    <t>4.2.7</t>
  </si>
  <si>
    <t>4.2.8</t>
  </si>
  <si>
    <t>נייח או נייד לפי מאפייני המקום</t>
  </si>
  <si>
    <t>4.2.9</t>
  </si>
  <si>
    <t>4.2.10</t>
  </si>
  <si>
    <t>4.2.11</t>
  </si>
  <si>
    <t>סה"כ סלון קטן כולל מע"מ</t>
  </si>
  <si>
    <t>סה"כ ציוד מטבחון וסלון קטן כולל מע"מ</t>
  </si>
  <si>
    <t>ציוד מיוחד: ציוד לאנשים עם תפקוד נמוך, ציוד עמיד מהרגיל</t>
  </si>
  <si>
    <t xml:space="preserve">ציוד לאנשים עם </t>
  </si>
  <si>
    <t>מיטה חשמלית</t>
  </si>
  <si>
    <t xml:space="preserve">ליקוים מוטוריים </t>
  </si>
  <si>
    <t>שולחן מתכוונן למחשב</t>
  </si>
  <si>
    <t>מנוף תקרה</t>
  </si>
  <si>
    <t>מקלדת ארגונומית</t>
  </si>
  <si>
    <t>עכבר ארגונומי</t>
  </si>
  <si>
    <t xml:space="preserve">ציוד לאנשים עם לקויות שמיעה </t>
  </si>
  <si>
    <t xml:space="preserve">מערכת הגברה סביבתית ומערכת עזר לשמיעה </t>
  </si>
  <si>
    <t>מערכת טמ"ס להגדלת טקסט</t>
  </si>
  <si>
    <t xml:space="preserve">לקויות ראיה </t>
  </si>
  <si>
    <t xml:space="preserve">תוכנה קולית למחשב </t>
  </si>
  <si>
    <t xml:space="preserve">תוכנת הגדלה למחשב </t>
  </si>
  <si>
    <t xml:space="preserve">צג ברייל </t>
  </si>
  <si>
    <t>ריהוט עמיד מהרגיל</t>
  </si>
  <si>
    <t>ציפוי קירות חדר שינה</t>
  </si>
  <si>
    <t>סה"כ ציוד מ יוחד  כולל מע"מ</t>
  </si>
  <si>
    <t xml:space="preserve">ציוד מתקנים אחרים </t>
  </si>
  <si>
    <t>שם התקן</t>
  </si>
  <si>
    <t>סיווג וסעיף התקן</t>
  </si>
  <si>
    <t>תיאור הציוד</t>
  </si>
  <si>
    <t>מחיר בתקן</t>
  </si>
  <si>
    <t>סכום מבוקש</t>
  </si>
  <si>
    <t>המלצת מנהלת התוכנית</t>
  </si>
  <si>
    <t>כמות מאושרת</t>
  </si>
  <si>
    <t>תקציב מאושר</t>
  </si>
  <si>
    <t>סה"כ ציוד מתקנים אחרים כולל מע"מ</t>
  </si>
  <si>
    <t>יש לרשום ציוד שאינו מופיע בתקן ולצרף 2 הצעות מחיר לציוד בעלות עד 20,000 ₪ ו-3 הצעות מחיר לסכום גבוה יותר</t>
  </si>
  <si>
    <t>תחום פעילות/ קבוצת ההוצאות</t>
  </si>
  <si>
    <t>פירוט הציוד/הפריט</t>
  </si>
  <si>
    <t>תיאור הצורך בפריט/בציוד</t>
  </si>
  <si>
    <t>הצעת מחיר א' כולל מע"מ</t>
  </si>
  <si>
    <t>הצעת מחיר ב' כולל מע"מ</t>
  </si>
  <si>
    <t>הצעת מחיר ג' כולל מע"מ</t>
  </si>
  <si>
    <t>סה"כ מחיר לפי ההצעה הזולה כולל מע"מ</t>
  </si>
  <si>
    <t>המלצת המנהלת (כמות)</t>
  </si>
  <si>
    <t>אישור מחיר חריג</t>
  </si>
  <si>
    <t>מחיר מאושר</t>
  </si>
  <si>
    <t>סה"כ ציוד נוסף שלא קיים בתקן כולל מע"מ</t>
  </si>
  <si>
    <t>סיכום בקשה להצטיידות</t>
  </si>
  <si>
    <t>דירוג סוציואקונומי של הישוב</t>
  </si>
  <si>
    <t>סכום מקסימלי לפי קול קורא (למילוי מנהלת התוכנית)</t>
  </si>
  <si>
    <t>מספר דירות</t>
  </si>
  <si>
    <t>מספר חדרי שינה</t>
  </si>
  <si>
    <t>מספר הדיירים</t>
  </si>
  <si>
    <t>סה"כ עלות הבקשה</t>
  </si>
  <si>
    <t>קטגוריה</t>
  </si>
  <si>
    <t>סך עלות מאושרת כולל מע"מ</t>
  </si>
  <si>
    <t>סה"כ בקשה</t>
  </si>
  <si>
    <t>אחוז מימון מקסימלי לפי דירוג סוציואקונומי, קו עימות  ומיגבלת גוף פרטי - הנמוך מביניהם (ללא התחשבות בתקציב הסיוע המקסימלי בקול קורא)</t>
  </si>
  <si>
    <t>גורם מממן</t>
  </si>
  <si>
    <t>אחוז מימון</t>
  </si>
  <si>
    <t xml:space="preserve">סכום מימון </t>
  </si>
  <si>
    <t>אחוז מימון מקסימלי-ביטוח לאומי</t>
  </si>
  <si>
    <t>מימון עצמי</t>
  </si>
  <si>
    <t>סה"כ</t>
  </si>
  <si>
    <t>סכום מימון מקסימלי בהתאם לקול קורא</t>
  </si>
  <si>
    <t>מימון ביטוח לאומי מקסימלי לפי קול קורא</t>
  </si>
  <si>
    <t>לאישור הוועדה</t>
  </si>
  <si>
    <t>מימון מאושר - הנמוך מביניהם - על פי דרוג סוציואקונומי או תקציב סיוע מקסימלי בקול קורא או תקציב לגוף פרטי</t>
  </si>
  <si>
    <t xml:space="preserve">בקשת  הגוף </t>
  </si>
  <si>
    <t>אישור מנהלת התוכנית (חריגות בלבד)</t>
  </si>
  <si>
    <t>שלב  1</t>
  </si>
  <si>
    <t>דוח הוצאות כספי מפורט - שלבים 2 ואילך</t>
  </si>
  <si>
    <t>צפי עלות רכישה כולל מע"מ</t>
  </si>
  <si>
    <t>שם הספק</t>
  </si>
  <si>
    <t>פירוט מהות ההוצאה -   הציוד שנרכש / השרות שניתן</t>
  </si>
  <si>
    <t>מס' חשבונית מס / קבלה</t>
  </si>
  <si>
    <t>תאריך הוצאה</t>
  </si>
  <si>
    <t>סכום הוצאה בש"ח וכולל מע"מ</t>
  </si>
  <si>
    <t>סכום חריגה מהתקציב - הפרש בין הסכום שנרכש בפועל לעלות שאושרה בהסכם</t>
  </si>
  <si>
    <t>שיעור ההפרש</t>
  </si>
  <si>
    <t>הערות לחריגה</t>
  </si>
  <si>
    <t>בדיקה והערות של היועץ מתאריך</t>
  </si>
  <si>
    <t>נבדק בשלב 2/3</t>
  </si>
  <si>
    <r>
      <t xml:space="preserve">מיועד לבתים שיתופיים עם מספר דיירים מ-9 עד 24. </t>
    </r>
    <r>
      <rPr>
        <b/>
        <sz val="11"/>
        <color theme="1"/>
        <rFont val="Times New Roman"/>
        <family val="1"/>
      </rPr>
      <t>למלא רק באישור מנהל/ת התכנית</t>
    </r>
  </si>
  <si>
    <r>
      <t xml:space="preserve">ציוד מיועד לאוכלוסיות מיוחדות.                           </t>
    </r>
    <r>
      <rPr>
        <b/>
        <sz val="11"/>
        <color theme="1"/>
        <rFont val="Times New Roman"/>
        <family val="1"/>
      </rPr>
      <t>למלא רק באישור מנהל/ת התכנית</t>
    </r>
  </si>
  <si>
    <r>
      <t xml:space="preserve">ציוד שאינו קיים בתקן זה אבל קיים בתקנים אחרים.     </t>
    </r>
    <r>
      <rPr>
        <b/>
        <sz val="11"/>
        <color theme="1"/>
        <rFont val="Times New Roman"/>
        <family val="1"/>
      </rPr>
      <t>למלא רק באישור מנהל/ת התכנית</t>
    </r>
  </si>
  <si>
    <r>
      <t xml:space="preserve">ציוד שאינו קיים בתקן ואינו קיים בתקנים אחרים.      </t>
    </r>
    <r>
      <rPr>
        <b/>
        <sz val="11"/>
        <color theme="1"/>
        <rFont val="Times New Roman"/>
        <family val="1"/>
      </rPr>
      <t>למלא רק באישור מנהל/ת התכנית</t>
    </r>
  </si>
  <si>
    <t>הערות</t>
  </si>
  <si>
    <t>סך בקשת הגוף בשלב 1 (בש"ח כולל מע"מ)</t>
  </si>
  <si>
    <t>סך הוצאה בפועל (בש"ח כולל מע"מ)</t>
  </si>
  <si>
    <t>ה מ ו ס ד    ל ב י ט ו ח    ל א ו מ י</t>
  </si>
  <si>
    <t>אישור מנהל/ת התוכנית</t>
  </si>
  <si>
    <t>מקרר קטן</t>
  </si>
  <si>
    <t>מתקן/ בר מים</t>
  </si>
  <si>
    <t xml:space="preserve">מחשב קומפלט </t>
  </si>
  <si>
    <t>טלוויזיה כולל מגן</t>
  </si>
  <si>
    <t xml:space="preserve">טלוויזיה כולל מגן </t>
  </si>
  <si>
    <t xml:space="preserve">מיקרוגל </t>
  </si>
  <si>
    <t>מקצועי</t>
  </si>
  <si>
    <t>תנור אפייה וחימום</t>
  </si>
  <si>
    <t>כיריים חשמליות 4 להבות</t>
  </si>
  <si>
    <t>בלנדר</t>
  </si>
  <si>
    <t>פינת ישיבה למרפסת</t>
  </si>
  <si>
    <t>ארון תרופות</t>
  </si>
  <si>
    <t xml:space="preserve">מזגן  </t>
  </si>
  <si>
    <t xml:space="preserve">מטף כיבוי אש </t>
  </si>
  <si>
    <t>מזנון</t>
  </si>
  <si>
    <t>כורסא</t>
  </si>
  <si>
    <t>שואב אבק תעשייתי</t>
  </si>
  <si>
    <t xml:space="preserve">מקרר קטן </t>
  </si>
  <si>
    <t>לתרופות</t>
  </si>
  <si>
    <t>מתקני ספורט לחצר</t>
  </si>
  <si>
    <t>שואב אבק ביתי</t>
  </si>
  <si>
    <t>מצלמות אבטחה</t>
  </si>
  <si>
    <t>שירותי עיצוב פנים</t>
  </si>
  <si>
    <t>משחקים, ספרים, ציוד פנאי</t>
  </si>
  <si>
    <t>ארון איחסון</t>
  </si>
  <si>
    <t>שולחן</t>
  </si>
  <si>
    <t>כיסא</t>
  </si>
  <si>
    <t>לפי 2 לחדר</t>
  </si>
  <si>
    <t>ארונית מגירות</t>
  </si>
  <si>
    <t>מזגן</t>
  </si>
  <si>
    <t>אביזרי עיצוב</t>
  </si>
  <si>
    <t>תנור בישול וחימום כיריים גז</t>
  </si>
  <si>
    <t>אביזרי עיצטב</t>
  </si>
  <si>
    <t xml:space="preserve">מזגן </t>
  </si>
  <si>
    <t>2.5 כ"ס</t>
  </si>
  <si>
    <t xml:space="preserve">שולחן מתכוונן </t>
  </si>
  <si>
    <t>מיטה ברוחב כ- 90-120 ס"מ</t>
  </si>
  <si>
    <t>מיטה + ארגז מצעים</t>
  </si>
  <si>
    <t>ארון אישי לכל דייר</t>
  </si>
  <si>
    <t>שולחן 1 בחדר (ל-1-2 דיירים)</t>
  </si>
  <si>
    <t>ליד כל מיטה לפי מספר אנשים/ מיטות</t>
  </si>
  <si>
    <t>גודל לפי מאפייני המקום עד 40 אינץ'</t>
  </si>
  <si>
    <t>מזגן לחדר שינה - עד 1.5 כ"ס</t>
  </si>
  <si>
    <t xml:space="preserve">מנוף נייד עם סוללה </t>
  </si>
  <si>
    <t>מיחם ביתי</t>
  </si>
  <si>
    <t>אביזרים לסלון בית מגורים</t>
  </si>
  <si>
    <t>שואב אבק ידני</t>
  </si>
  <si>
    <t>ארגז כלים ביתי</t>
  </si>
  <si>
    <t>אביזרי עיצוב לבית מגורים</t>
  </si>
  <si>
    <t>3.1.16</t>
  </si>
  <si>
    <t>2.1.16</t>
  </si>
  <si>
    <t>קולט אדים</t>
  </si>
  <si>
    <t>ממלאים רק במדה וקיימת חצר</t>
  </si>
  <si>
    <t>כיסא שירותים ורחיצה תקני על גלגלים</t>
  </si>
  <si>
    <t>אביזרים לחדרי שירותים או רחצה</t>
  </si>
  <si>
    <t xml:space="preserve">מקרר תעשייתי </t>
  </si>
  <si>
    <r>
      <t xml:space="preserve">הגוף המבקש מתבקש למלא פרטים </t>
    </r>
    <r>
      <rPr>
        <u/>
        <sz val="11"/>
        <rFont val="Times New Roman"/>
        <family val="1"/>
      </rPr>
      <t xml:space="preserve">רק </t>
    </r>
    <r>
      <rPr>
        <sz val="11"/>
        <rFont val="Times New Roman"/>
        <family val="1"/>
      </rPr>
      <t>בתאים המסומנים בצבע צהוב. אין לגעת בתאים אחרים.</t>
    </r>
  </si>
  <si>
    <t>בתוספת 25% למיטה סטנדרטית בתקן</t>
  </si>
  <si>
    <t>לפי תקנים למוסדות ציבוריים</t>
  </si>
  <si>
    <t>בתוספת 50% ארונית סטנדרטית בתקן</t>
  </si>
  <si>
    <t>גירסה: 07/09/26</t>
  </si>
  <si>
    <t>לדירת מגורים</t>
  </si>
  <si>
    <t>ליחיד בדירת מגורים</t>
  </si>
  <si>
    <r>
      <t>לפי מספר חדרים</t>
    </r>
    <r>
      <rPr>
        <sz val="11"/>
        <rFont val="Times New Roman"/>
        <family val="1"/>
      </rPr>
      <t xml:space="preserve"> - חלון אחד בחדר שינה</t>
    </r>
  </si>
  <si>
    <t>בחדר שינה</t>
  </si>
  <si>
    <t>ביתית</t>
  </si>
  <si>
    <t>שימשיה - קוטר כ-  1.5 מ'</t>
  </si>
  <si>
    <t xml:space="preserve">עלות לחלון בחדר דירה </t>
  </si>
  <si>
    <t>בית שיתופי</t>
  </si>
  <si>
    <t>אביזרים לחדרי שירותים או רחיצה</t>
  </si>
  <si>
    <t>עלות לחלון בחדר דירה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</si>
</sst>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4" formatCode="_ &quot;₪&quot;\ * #,##0.00_ ;_ &quot;₪&quot;\ * \-#,##0.00_ ;_ &quot;₪&quot;\ * &quot;-&quot;??_ ;_ @_ "/>
    <numFmt numFmtId="43" formatCode="_ * #,##0.00_ ;_ * \-#,##0.00_ ;_ * &quot;-&quot;??_ ;_ @_ "/>
    <numFmt numFmtId="164" formatCode="&quot;₪&quot;\ #,##0"/>
    <numFmt numFmtId="165" formatCode="_ * #,##0_ ;_ * \-#,##0_ ;_ * &quot;-&quot;??_ ;_ @_ "/>
    <numFmt numFmtId="166" formatCode="#,##0_ ;[Red]\-#,##0\ "/>
    <numFmt numFmtId="167" formatCode="0.0"/>
    <numFmt numFmtId="168" formatCode="mmmm\-yyyy"/>
    <numFmt numFmtId="169" formatCode="_ * #,##0_ ;_ * \-#,##0_ ;_ * \-??_ ;_ @_ "/>
    <numFmt numFmtId="170" formatCode="dd/mm/yy"/>
    <numFmt numFmtId="171" formatCode="#,###,##0"/>
    <numFmt numFmtId="172" formatCode="#,###,##0.00"/>
  </numFmts>
  <fonts count="31" x14ac:knownFonts="1">
    <font>
      <sz val="11"/>
      <color theme="1"/>
      <name val="Arial"/>
      <family val="2"/>
      <charset val="177"/>
      <scheme val="minor"/>
    </font>
    <font>
      <sz val="11"/>
      <color theme="1"/>
      <name val="Arial"/>
      <family val="2"/>
      <charset val="177"/>
      <scheme val="minor"/>
    </font>
    <font>
      <sz val="11"/>
      <color theme="1"/>
      <name val="Times New Roman"/>
      <family val="1"/>
    </font>
    <font>
      <b/>
      <sz val="11"/>
      <name val="Times New Roman"/>
      <family val="1"/>
    </font>
    <font>
      <sz val="11"/>
      <name val="Times New Roman"/>
      <family val="1"/>
    </font>
    <font>
      <u/>
      <sz val="11"/>
      <color theme="10"/>
      <name val="Arial"/>
      <family val="2"/>
      <charset val="177"/>
      <scheme val="minor"/>
    </font>
    <font>
      <u/>
      <sz val="11"/>
      <name val="Times New Roman"/>
      <family val="1"/>
    </font>
    <font>
      <sz val="11"/>
      <color rgb="FFFF0000"/>
      <name val="Times New Roman"/>
      <family val="1"/>
    </font>
    <font>
      <sz val="11"/>
      <color theme="1"/>
      <name val="Times New Roman"/>
      <family val="1"/>
      <scheme val="major"/>
    </font>
    <font>
      <b/>
      <sz val="11"/>
      <color theme="1"/>
      <name val="Times New Roman"/>
      <family val="1"/>
    </font>
    <font>
      <sz val="10"/>
      <name val="Arial"/>
      <family val="2"/>
    </font>
    <font>
      <b/>
      <sz val="11"/>
      <color rgb="FFC00000"/>
      <name val="Times New Roman"/>
      <family val="1"/>
    </font>
    <font>
      <b/>
      <sz val="14"/>
      <color theme="1"/>
      <name val="Times New Roman"/>
      <family val="1"/>
      <scheme val="major"/>
    </font>
    <font>
      <b/>
      <i/>
      <sz val="11"/>
      <color theme="1"/>
      <name val="Times New Roman"/>
      <family val="1"/>
    </font>
    <font>
      <sz val="11"/>
      <color rgb="FFC00000"/>
      <name val="Times New Roman"/>
      <family val="1"/>
    </font>
    <font>
      <i/>
      <sz val="11"/>
      <name val="Times New Roman"/>
      <family val="1"/>
    </font>
    <font>
      <sz val="11"/>
      <color theme="0"/>
      <name val="Times New Roman"/>
      <family val="1"/>
    </font>
    <font>
      <b/>
      <u/>
      <sz val="11"/>
      <color theme="1"/>
      <name val="Times New Roman"/>
      <family val="1"/>
      <scheme val="major"/>
    </font>
    <font>
      <sz val="11"/>
      <color rgb="FF0000CC"/>
      <name val="Times New Roman"/>
      <family val="1"/>
    </font>
    <font>
      <sz val="11"/>
      <color rgb="FF0000FF"/>
      <name val="Times New Roman"/>
      <family val="1"/>
    </font>
    <font>
      <b/>
      <sz val="12"/>
      <color theme="1"/>
      <name val="Times New Roman"/>
      <family val="1"/>
    </font>
    <font>
      <b/>
      <u/>
      <sz val="12"/>
      <color theme="1"/>
      <name val="Times New Roman"/>
      <family val="1"/>
    </font>
    <font>
      <b/>
      <sz val="11"/>
      <color rgb="FF0000CC"/>
      <name val="Times New Roman"/>
      <family val="1"/>
    </font>
    <font>
      <sz val="11"/>
      <name val="Times New Roman"/>
      <family val="1"/>
      <charset val="1"/>
    </font>
    <font>
      <b/>
      <sz val="10"/>
      <color theme="1"/>
      <name val="Times New Roman"/>
      <family val="1"/>
    </font>
    <font>
      <sz val="10"/>
      <color theme="1"/>
      <name val="Times New Roman"/>
      <family val="1"/>
    </font>
    <font>
      <sz val="10"/>
      <color rgb="FF000000"/>
      <name val="Times New Roman"/>
      <family val="1"/>
    </font>
    <font>
      <b/>
      <sz val="14"/>
      <name val="Times New Roman"/>
      <family val="1"/>
    </font>
    <font>
      <sz val="11"/>
      <color theme="2"/>
      <name val="Times New Roman"/>
      <family val="1"/>
    </font>
    <font>
      <sz val="11"/>
      <name val="Times New Roman"/>
      <family val="2"/>
      <charset val="1"/>
    </font>
    <font>
      <sz val="8"/>
      <name val="Arial"/>
      <family val="2"/>
      <charset val="177"/>
      <scheme val="minor"/>
    </font>
  </fonts>
  <fills count="9">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rgb="FFFFFF99"/>
        <bgColor indexed="64"/>
      </patternFill>
    </fill>
    <fill>
      <patternFill patternType="solid">
        <fgColor rgb="FFFFFFCC"/>
        <bgColor rgb="FFCCFFFF"/>
      </patternFill>
    </fill>
    <fill>
      <patternFill patternType="solid">
        <fgColor rgb="FFFFFFCC"/>
        <bgColor rgb="FFFDEADA"/>
      </patternFill>
    </fill>
    <fill>
      <patternFill patternType="solid">
        <fgColor rgb="FFFFFFCC"/>
        <bgColor rgb="FFCCFFCC"/>
      </patternFill>
    </fill>
    <fill>
      <patternFill patternType="solid">
        <fgColor theme="4" tint="0.79998168889431442"/>
        <bgColor rgb="FFFFEB9C"/>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44" fontId="1" fillId="0" borderId="0" applyFont="0" applyFill="0" applyBorder="0" applyAlignment="0" applyProtection="0"/>
    <xf numFmtId="0" fontId="10" fillId="0" borderId="0"/>
  </cellStyleXfs>
  <cellXfs count="331">
    <xf numFmtId="0" fontId="0" fillId="0" borderId="0" xfId="0"/>
    <xf numFmtId="0" fontId="8" fillId="0" borderId="0" xfId="0" applyFont="1"/>
    <xf numFmtId="0" fontId="12" fillId="0" borderId="0" xfId="0" applyFont="1"/>
    <xf numFmtId="0" fontId="2" fillId="2" borderId="0" xfId="0" applyFont="1" applyFill="1"/>
    <xf numFmtId="0" fontId="3" fillId="0" borderId="0" xfId="0" applyFont="1"/>
    <xf numFmtId="0" fontId="2" fillId="2" borderId="22" xfId="0" applyFont="1" applyFill="1" applyBorder="1"/>
    <xf numFmtId="0" fontId="2" fillId="2" borderId="23" xfId="0" applyFont="1" applyFill="1" applyBorder="1"/>
    <xf numFmtId="0" fontId="2" fillId="2" borderId="24" xfId="0" applyFont="1" applyFill="1" applyBorder="1"/>
    <xf numFmtId="0" fontId="2" fillId="2" borderId="25" xfId="0" applyFont="1" applyFill="1" applyBorder="1"/>
    <xf numFmtId="0" fontId="4" fillId="0" borderId="0" xfId="0" applyFont="1"/>
    <xf numFmtId="0" fontId="2" fillId="2" borderId="26" xfId="0" applyFont="1" applyFill="1" applyBorder="1"/>
    <xf numFmtId="0" fontId="2" fillId="0" borderId="22" xfId="0" applyFont="1" applyBorder="1"/>
    <xf numFmtId="0" fontId="4" fillId="0" borderId="23" xfId="0" applyFont="1" applyBorder="1"/>
    <xf numFmtId="0" fontId="2" fillId="2" borderId="23" xfId="0" applyFont="1" applyFill="1" applyBorder="1" applyAlignment="1">
      <alignment horizontal="center"/>
    </xf>
    <xf numFmtId="0" fontId="2" fillId="2" borderId="27" xfId="0" applyFont="1" applyFill="1" applyBorder="1"/>
    <xf numFmtId="0" fontId="4" fillId="0" borderId="18" xfId="0" applyFont="1" applyBorder="1"/>
    <xf numFmtId="0" fontId="2" fillId="2" borderId="18" xfId="0" applyFont="1" applyFill="1" applyBorder="1" applyAlignment="1">
      <alignment horizontal="center"/>
    </xf>
    <xf numFmtId="0" fontId="2" fillId="2" borderId="28" xfId="0" applyFont="1" applyFill="1" applyBorder="1"/>
    <xf numFmtId="0" fontId="2" fillId="2" borderId="18" xfId="0" applyFont="1" applyFill="1" applyBorder="1"/>
    <xf numFmtId="0" fontId="11" fillId="0" borderId="0" xfId="0" applyFont="1" applyAlignment="1">
      <alignment horizontal="right"/>
    </xf>
    <xf numFmtId="0" fontId="2" fillId="0" borderId="1" xfId="0" applyFont="1" applyBorder="1" applyAlignment="1">
      <alignment wrapText="1"/>
    </xf>
    <xf numFmtId="0" fontId="2" fillId="0" borderId="1" xfId="0" applyFont="1" applyBorder="1" applyAlignment="1">
      <alignment horizontal="right" wrapText="1"/>
    </xf>
    <xf numFmtId="2" fontId="2" fillId="0" borderId="1" xfId="0" applyNumberFormat="1" applyFont="1" applyBorder="1" applyAlignment="1">
      <alignment horizontal="right" wrapText="1"/>
    </xf>
    <xf numFmtId="0" fontId="2" fillId="0" borderId="0" xfId="0" applyFont="1" applyAlignment="1">
      <alignment horizontal="right"/>
    </xf>
    <xf numFmtId="0" fontId="2" fillId="0" borderId="0" xfId="0" applyFont="1"/>
    <xf numFmtId="0" fontId="9" fillId="0" borderId="0" xfId="0" applyFont="1"/>
    <xf numFmtId="0" fontId="2" fillId="0" borderId="29" xfId="0" applyFont="1" applyBorder="1"/>
    <xf numFmtId="0" fontId="2" fillId="0" borderId="15" xfId="0" applyFont="1" applyBorder="1" applyAlignment="1">
      <alignment horizontal="right"/>
    </xf>
    <xf numFmtId="0" fontId="2" fillId="0" borderId="16" xfId="0" applyFont="1" applyBorder="1" applyAlignment="1">
      <alignment horizontal="right"/>
    </xf>
    <xf numFmtId="0" fontId="2" fillId="0" borderId="20" xfId="0" applyFont="1" applyBorder="1" applyAlignment="1">
      <alignment horizontal="right" wrapText="1"/>
    </xf>
    <xf numFmtId="0" fontId="2" fillId="0" borderId="1" xfId="0" applyFont="1" applyBorder="1" applyAlignment="1">
      <alignment wrapText="1" readingOrder="2"/>
    </xf>
    <xf numFmtId="10" fontId="2" fillId="0" borderId="1" xfId="0" applyNumberFormat="1" applyFont="1" applyBorder="1" applyAlignment="1">
      <alignment horizontal="right" wrapText="1"/>
    </xf>
    <xf numFmtId="0" fontId="2" fillId="0" borderId="19" xfId="0" applyFont="1" applyBorder="1" applyAlignment="1">
      <alignment horizontal="right" wrapText="1"/>
    </xf>
    <xf numFmtId="0" fontId="9" fillId="0" borderId="1" xfId="0" applyFont="1" applyBorder="1" applyAlignment="1">
      <alignment horizontal="right" wrapText="1"/>
    </xf>
    <xf numFmtId="3" fontId="2" fillId="0" borderId="1" xfId="0" applyNumberFormat="1" applyFont="1" applyBorder="1" applyAlignment="1">
      <alignment wrapText="1"/>
    </xf>
    <xf numFmtId="1" fontId="2" fillId="0" borderId="1" xfId="0" applyNumberFormat="1" applyFont="1" applyBorder="1" applyAlignment="1">
      <alignment wrapText="1"/>
    </xf>
    <xf numFmtId="9" fontId="2" fillId="0" borderId="1" xfId="0" applyNumberFormat="1" applyFont="1" applyBorder="1" applyAlignment="1">
      <alignment wrapText="1"/>
    </xf>
    <xf numFmtId="0" fontId="2" fillId="0" borderId="21" xfId="0" applyFont="1" applyBorder="1" applyAlignment="1">
      <alignment horizontal="right"/>
    </xf>
    <xf numFmtId="0" fontId="2" fillId="0" borderId="20" xfId="0" applyFont="1" applyBorder="1" applyAlignment="1">
      <alignment horizontal="right"/>
    </xf>
    <xf numFmtId="0" fontId="9" fillId="0" borderId="1" xfId="0" applyFont="1" applyBorder="1" applyAlignment="1">
      <alignment horizontal="right" wrapText="1" readingOrder="2"/>
    </xf>
    <xf numFmtId="2" fontId="2" fillId="0" borderId="1" xfId="0" applyNumberFormat="1" applyFont="1" applyBorder="1" applyAlignment="1">
      <alignment wrapText="1"/>
    </xf>
    <xf numFmtId="0" fontId="2" fillId="0" borderId="19" xfId="0" applyFont="1" applyBorder="1" applyAlignment="1">
      <alignment horizontal="right" wrapText="1" readingOrder="2"/>
    </xf>
    <xf numFmtId="0" fontId="2" fillId="0" borderId="21" xfId="0" applyFont="1" applyBorder="1" applyAlignment="1">
      <alignment horizontal="right" wrapText="1" readingOrder="2"/>
    </xf>
    <xf numFmtId="0" fontId="2" fillId="0" borderId="20" xfId="0" applyFont="1" applyBorder="1" applyAlignment="1">
      <alignment horizontal="right" wrapText="1" readingOrder="2"/>
    </xf>
    <xf numFmtId="0" fontId="9" fillId="0" borderId="15" xfId="0" applyFont="1" applyBorder="1" applyAlignment="1">
      <alignment horizontal="right"/>
    </xf>
    <xf numFmtId="0" fontId="9" fillId="0" borderId="21" xfId="0" applyFont="1" applyBorder="1" applyAlignment="1">
      <alignment horizontal="right" wrapText="1"/>
    </xf>
    <xf numFmtId="0" fontId="9" fillId="0" borderId="20" xfId="0" applyFont="1" applyBorder="1" applyAlignment="1">
      <alignment horizontal="right" wrapText="1"/>
    </xf>
    <xf numFmtId="3" fontId="9" fillId="0" borderId="1" xfId="0" applyNumberFormat="1" applyFont="1" applyBorder="1" applyAlignment="1">
      <alignment wrapText="1"/>
    </xf>
    <xf numFmtId="0" fontId="9" fillId="0" borderId="0" xfId="0" applyFont="1" applyAlignment="1">
      <alignment horizontal="right"/>
    </xf>
    <xf numFmtId="9" fontId="9" fillId="0" borderId="1" xfId="0" applyNumberFormat="1" applyFont="1" applyBorder="1" applyAlignment="1">
      <alignment wrapText="1"/>
    </xf>
    <xf numFmtId="0" fontId="3" fillId="0" borderId="16" xfId="0" applyFont="1" applyBorder="1" applyAlignment="1">
      <alignment horizontal="right"/>
    </xf>
    <xf numFmtId="0" fontId="2" fillId="0" borderId="15" xfId="0" applyFont="1" applyBorder="1"/>
    <xf numFmtId="0" fontId="2" fillId="0" borderId="16" xfId="0" applyFont="1" applyBorder="1"/>
    <xf numFmtId="1" fontId="9" fillId="0" borderId="1" xfId="0" applyNumberFormat="1" applyFont="1" applyBorder="1" applyAlignment="1">
      <alignment wrapText="1"/>
    </xf>
    <xf numFmtId="0" fontId="2" fillId="0" borderId="21" xfId="0" applyFont="1" applyBorder="1" applyAlignment="1">
      <alignment horizontal="right" wrapText="1"/>
    </xf>
    <xf numFmtId="1" fontId="13" fillId="0" borderId="1" xfId="0" applyNumberFormat="1" applyFont="1" applyBorder="1" applyAlignment="1">
      <alignment wrapText="1"/>
    </xf>
    <xf numFmtId="0" fontId="2" fillId="0" borderId="1" xfId="0" applyFont="1" applyBorder="1" applyAlignment="1">
      <alignment horizontal="right" wrapText="1" readingOrder="2"/>
    </xf>
    <xf numFmtId="0" fontId="2" fillId="0" borderId="1" xfId="0" applyFont="1" applyBorder="1" applyAlignment="1">
      <alignment horizontal="right"/>
    </xf>
    <xf numFmtId="0" fontId="9" fillId="0" borderId="15" xfId="0" applyFont="1" applyBorder="1" applyAlignment="1">
      <alignment horizontal="right" wrapText="1"/>
    </xf>
    <xf numFmtId="38" fontId="9" fillId="0" borderId="15" xfId="0" applyNumberFormat="1" applyFont="1" applyBorder="1" applyAlignment="1">
      <alignment wrapText="1"/>
    </xf>
    <xf numFmtId="38" fontId="9" fillId="0" borderId="16" xfId="0" applyNumberFormat="1" applyFont="1" applyBorder="1" applyAlignment="1">
      <alignment wrapText="1"/>
    </xf>
    <xf numFmtId="0" fontId="9" fillId="0" borderId="29" xfId="0" applyFont="1" applyBorder="1" applyAlignment="1">
      <alignment horizontal="right" wrapText="1"/>
    </xf>
    <xf numFmtId="38" fontId="2" fillId="0" borderId="1" xfId="0" applyNumberFormat="1" applyFont="1" applyBorder="1" applyAlignment="1">
      <alignment horizontal="right" wrapText="1" readingOrder="2"/>
    </xf>
    <xf numFmtId="38" fontId="2" fillId="0" borderId="1" xfId="0" applyNumberFormat="1" applyFont="1" applyBorder="1" applyAlignment="1">
      <alignment wrapText="1" readingOrder="2"/>
    </xf>
    <xf numFmtId="38" fontId="2" fillId="0" borderId="1" xfId="0" applyNumberFormat="1" applyFont="1" applyBorder="1"/>
    <xf numFmtId="0" fontId="9" fillId="0" borderId="1" xfId="0" applyFont="1" applyBorder="1" applyAlignment="1">
      <alignment horizontal="right"/>
    </xf>
    <xf numFmtId="0" fontId="9" fillId="0" borderId="29" xfId="0" applyFont="1" applyBorder="1" applyAlignment="1">
      <alignment horizontal="right"/>
    </xf>
    <xf numFmtId="38" fontId="9" fillId="0" borderId="15" xfId="0" applyNumberFormat="1" applyFont="1" applyBorder="1"/>
    <xf numFmtId="38" fontId="9" fillId="0" borderId="1" xfId="0" applyNumberFormat="1" applyFont="1" applyBorder="1"/>
    <xf numFmtId="0" fontId="9" fillId="0" borderId="16" xfId="0" applyFont="1" applyBorder="1" applyAlignment="1">
      <alignment horizontal="right"/>
    </xf>
    <xf numFmtId="10" fontId="9" fillId="0" borderId="15" xfId="0" applyNumberFormat="1" applyFont="1" applyBorder="1" applyAlignment="1">
      <alignment horizontal="right" wrapText="1"/>
    </xf>
    <xf numFmtId="0" fontId="9" fillId="0" borderId="16" xfId="0" applyFont="1" applyBorder="1" applyAlignment="1">
      <alignment horizontal="right" wrapText="1"/>
    </xf>
    <xf numFmtId="0" fontId="2" fillId="0" borderId="24" xfId="0" applyFont="1" applyBorder="1" applyAlignment="1">
      <alignment horizontal="right" wrapText="1" readingOrder="2"/>
    </xf>
    <xf numFmtId="3" fontId="2" fillId="0" borderId="1" xfId="0" applyNumberFormat="1" applyFont="1" applyBorder="1" applyAlignment="1">
      <alignment horizontal="right" wrapText="1"/>
    </xf>
    <xf numFmtId="0" fontId="2" fillId="0" borderId="16" xfId="0" applyFont="1" applyBorder="1" applyAlignment="1">
      <alignment horizontal="right" wrapText="1" readingOrder="2"/>
    </xf>
    <xf numFmtId="0" fontId="2" fillId="0" borderId="26" xfId="0" applyFont="1" applyBorder="1" applyAlignment="1">
      <alignment horizontal="right" wrapText="1" readingOrder="2"/>
    </xf>
    <xf numFmtId="0" fontId="14" fillId="2" borderId="26" xfId="0" applyFont="1" applyFill="1" applyBorder="1"/>
    <xf numFmtId="0" fontId="2" fillId="0" borderId="1" xfId="1" applyNumberFormat="1" applyFont="1" applyFill="1" applyBorder="1" applyAlignment="1" applyProtection="1"/>
    <xf numFmtId="0" fontId="2" fillId="0" borderId="0" xfId="0" applyFont="1" applyAlignment="1">
      <alignment horizontal="left"/>
    </xf>
    <xf numFmtId="0" fontId="4" fillId="0" borderId="0" xfId="0" applyFont="1" applyAlignment="1">
      <alignment horizontal="center" readingOrder="2"/>
    </xf>
    <xf numFmtId="0" fontId="9" fillId="0" borderId="0" xfId="0" applyFont="1" applyAlignment="1">
      <alignment horizontal="center"/>
    </xf>
    <xf numFmtId="38" fontId="9" fillId="0" borderId="15" xfId="0" applyNumberFormat="1" applyFont="1" applyBorder="1" applyAlignment="1">
      <alignment wrapText="1" readingOrder="2"/>
    </xf>
    <xf numFmtId="38" fontId="9" fillId="0" borderId="16" xfId="0" applyNumberFormat="1" applyFont="1" applyBorder="1"/>
    <xf numFmtId="0" fontId="4" fillId="0" borderId="0" xfId="0" applyFont="1" applyAlignment="1">
      <alignment horizontal="left"/>
    </xf>
    <xf numFmtId="0" fontId="2" fillId="0" borderId="0" xfId="0" applyFont="1" applyAlignment="1">
      <alignment horizontal="center"/>
    </xf>
    <xf numFmtId="0" fontId="4" fillId="0" borderId="24" xfId="0" applyFont="1" applyBorder="1" applyAlignment="1">
      <alignment horizontal="right"/>
    </xf>
    <xf numFmtId="0" fontId="15" fillId="0" borderId="0" xfId="0" applyFont="1" applyAlignment="1">
      <alignment horizontal="right" indent="2"/>
    </xf>
    <xf numFmtId="0" fontId="2" fillId="0" borderId="25" xfId="0" applyFont="1" applyBorder="1"/>
    <xf numFmtId="0" fontId="4" fillId="0" borderId="26" xfId="0" applyFont="1" applyBorder="1" applyAlignment="1">
      <alignment horizontal="right"/>
    </xf>
    <xf numFmtId="0" fontId="4" fillId="0" borderId="28" xfId="0" applyFont="1" applyBorder="1"/>
    <xf numFmtId="0" fontId="4" fillId="0" borderId="0" xfId="0" applyFont="1" applyAlignment="1">
      <alignment horizontal="right" indent="2"/>
    </xf>
    <xf numFmtId="0" fontId="4" fillId="0" borderId="28" xfId="0" applyFont="1" applyBorder="1" applyAlignment="1">
      <alignment horizontal="right"/>
    </xf>
    <xf numFmtId="0" fontId="4" fillId="0" borderId="0" xfId="0" applyFont="1" applyAlignment="1">
      <alignment horizontal="right"/>
    </xf>
    <xf numFmtId="0" fontId="4" fillId="0" borderId="24" xfId="0" applyFont="1" applyBorder="1"/>
    <xf numFmtId="10" fontId="9" fillId="0" borderId="15" xfId="0" applyNumberFormat="1" applyFont="1" applyBorder="1" applyAlignment="1">
      <alignment horizontal="right"/>
    </xf>
    <xf numFmtId="0" fontId="2" fillId="0" borderId="29" xfId="0" applyFont="1" applyBorder="1" applyAlignment="1">
      <alignment horizontal="right"/>
    </xf>
    <xf numFmtId="0" fontId="9" fillId="2" borderId="22" xfId="0" applyFont="1" applyFill="1" applyBorder="1"/>
    <xf numFmtId="0" fontId="3" fillId="0" borderId="23" xfId="0" applyFont="1" applyBorder="1" applyAlignment="1">
      <alignment horizontal="right"/>
    </xf>
    <xf numFmtId="0" fontId="9" fillId="2" borderId="23" xfId="0" applyFont="1" applyFill="1" applyBorder="1"/>
    <xf numFmtId="0" fontId="2" fillId="2" borderId="0" xfId="0" applyFont="1" applyFill="1" applyAlignment="1">
      <alignment horizontal="center"/>
    </xf>
    <xf numFmtId="0" fontId="4" fillId="0" borderId="26" xfId="0" applyFont="1" applyBorder="1"/>
    <xf numFmtId="0" fontId="16" fillId="0" borderId="0" xfId="0" applyFont="1" applyAlignment="1">
      <alignment horizontal="right" readingOrder="1"/>
    </xf>
    <xf numFmtId="0" fontId="17" fillId="0" borderId="0" xfId="0" applyFont="1"/>
    <xf numFmtId="0" fontId="4" fillId="0" borderId="1" xfId="1" applyNumberFormat="1" applyFont="1" applyBorder="1" applyAlignment="1">
      <alignment horizontal="right" wrapText="1"/>
    </xf>
    <xf numFmtId="0" fontId="2" fillId="0" borderId="1" xfId="1" applyNumberFormat="1" applyFont="1" applyBorder="1" applyAlignment="1">
      <alignment horizontal="right"/>
    </xf>
    <xf numFmtId="0" fontId="2" fillId="0" borderId="1" xfId="1" applyNumberFormat="1" applyFont="1" applyBorder="1" applyAlignment="1">
      <alignment horizontal="right" wrapText="1"/>
    </xf>
    <xf numFmtId="49" fontId="2" fillId="0" borderId="1" xfId="1" applyNumberFormat="1" applyFont="1" applyBorder="1" applyAlignment="1">
      <alignment horizontal="right" wrapText="1"/>
    </xf>
    <xf numFmtId="0" fontId="18" fillId="0" borderId="1" xfId="0" applyFont="1" applyBorder="1" applyAlignment="1">
      <alignment horizontal="right" wrapText="1"/>
    </xf>
    <xf numFmtId="0" fontId="19" fillId="0" borderId="1" xfId="0" applyFont="1" applyBorder="1" applyAlignment="1">
      <alignment horizontal="right" wrapText="1"/>
    </xf>
    <xf numFmtId="169" fontId="4" fillId="5" borderId="1" xfId="1" applyNumberFormat="1" applyFont="1" applyFill="1" applyBorder="1" applyAlignment="1" applyProtection="1">
      <alignment horizontal="right" wrapText="1"/>
      <protection locked="0"/>
    </xf>
    <xf numFmtId="0" fontId="4" fillId="6" borderId="1" xfId="0" applyFont="1" applyFill="1" applyBorder="1" applyAlignment="1" applyProtection="1">
      <alignment horizontal="right"/>
      <protection locked="0"/>
    </xf>
    <xf numFmtId="0" fontId="4" fillId="6" borderId="1" xfId="0" applyFont="1" applyFill="1" applyBorder="1" applyAlignment="1" applyProtection="1">
      <alignment horizontal="right" wrapText="1"/>
      <protection locked="0"/>
    </xf>
    <xf numFmtId="170" fontId="4" fillId="6" borderId="1" xfId="0" applyNumberFormat="1" applyFont="1" applyFill="1" applyBorder="1" applyAlignment="1" applyProtection="1">
      <alignment horizontal="right"/>
      <protection locked="0"/>
    </xf>
    <xf numFmtId="3" fontId="4" fillId="6" borderId="1" xfId="0" applyNumberFormat="1" applyFont="1" applyFill="1" applyBorder="1" applyAlignment="1" applyProtection="1">
      <alignment horizontal="right"/>
      <protection locked="0"/>
    </xf>
    <xf numFmtId="169" fontId="4" fillId="6" borderId="1" xfId="1" applyNumberFormat="1" applyFont="1" applyFill="1" applyBorder="1" applyAlignment="1" applyProtection="1">
      <alignment horizontal="right"/>
      <protection locked="0"/>
    </xf>
    <xf numFmtId="3" fontId="4" fillId="0" borderId="1" xfId="0" applyNumberFormat="1" applyFont="1" applyBorder="1" applyAlignment="1">
      <alignment horizontal="right"/>
    </xf>
    <xf numFmtId="9" fontId="4" fillId="0" borderId="1" xfId="0" applyNumberFormat="1" applyFont="1" applyBorder="1" applyAlignment="1">
      <alignment horizontal="right"/>
    </xf>
    <xf numFmtId="0" fontId="4" fillId="0" borderId="1" xfId="0" applyFont="1" applyBorder="1" applyAlignment="1">
      <alignment horizontal="right"/>
    </xf>
    <xf numFmtId="0" fontId="9" fillId="2" borderId="0" xfId="0" applyFont="1" applyFill="1"/>
    <xf numFmtId="0" fontId="9" fillId="2" borderId="8" xfId="0" applyFont="1" applyFill="1" applyBorder="1"/>
    <xf numFmtId="0" fontId="9" fillId="2" borderId="9" xfId="0" applyFont="1" applyFill="1" applyBorder="1"/>
    <xf numFmtId="0" fontId="9" fillId="2" borderId="11" xfId="0" applyFont="1" applyFill="1" applyBorder="1"/>
    <xf numFmtId="0" fontId="20" fillId="2" borderId="0" xfId="0" applyFont="1" applyFill="1" applyAlignment="1">
      <alignment horizontal="right" readingOrder="2"/>
    </xf>
    <xf numFmtId="0" fontId="2" fillId="2" borderId="11" xfId="0" applyFont="1" applyFill="1" applyBorder="1"/>
    <xf numFmtId="0" fontId="2" fillId="2" borderId="10" xfId="0" applyFont="1" applyFill="1" applyBorder="1" applyAlignment="1">
      <alignment horizontal="right" vertical="center" wrapText="1" readingOrder="2"/>
    </xf>
    <xf numFmtId="0" fontId="2" fillId="2" borderId="0" xfId="0" applyFont="1" applyFill="1" applyAlignment="1">
      <alignment horizontal="right" vertical="center" wrapText="1" readingOrder="2"/>
    </xf>
    <xf numFmtId="0" fontId="2" fillId="2" borderId="11" xfId="0" applyFont="1" applyFill="1" applyBorder="1" applyAlignment="1">
      <alignment horizontal="right" vertical="center" wrapText="1" readingOrder="2"/>
    </xf>
    <xf numFmtId="0" fontId="2" fillId="2" borderId="10" xfId="0" applyFont="1" applyFill="1" applyBorder="1" applyAlignment="1">
      <alignment horizontal="right" readingOrder="2"/>
    </xf>
    <xf numFmtId="0" fontId="20" fillId="2" borderId="7" xfId="0" applyFont="1" applyFill="1" applyBorder="1"/>
    <xf numFmtId="0" fontId="20" fillId="2" borderId="8" xfId="0" applyFont="1" applyFill="1" applyBorder="1"/>
    <xf numFmtId="0" fontId="20" fillId="2" borderId="10" xfId="0" applyFont="1" applyFill="1" applyBorder="1"/>
    <xf numFmtId="0" fontId="20" fillId="2" borderId="0" xfId="0" applyFont="1" applyFill="1"/>
    <xf numFmtId="0" fontId="21" fillId="2" borderId="0" xfId="0" applyFont="1" applyFill="1" applyAlignment="1">
      <alignment horizontal="right" readingOrder="2"/>
    </xf>
    <xf numFmtId="168" fontId="20" fillId="2" borderId="0" xfId="0" applyNumberFormat="1" applyFont="1" applyFill="1"/>
    <xf numFmtId="0" fontId="2" fillId="0" borderId="29" xfId="0" applyFont="1" applyBorder="1" applyAlignment="1">
      <alignment vertical="center"/>
    </xf>
    <xf numFmtId="0" fontId="9" fillId="0" borderId="16" xfId="0" applyFont="1" applyBorder="1" applyAlignment="1">
      <alignment horizontal="right" vertical="center"/>
    </xf>
    <xf numFmtId="0" fontId="2" fillId="0" borderId="1" xfId="0" applyFont="1" applyBorder="1" applyAlignment="1">
      <alignment vertical="center" wrapText="1"/>
    </xf>
    <xf numFmtId="0" fontId="9" fillId="0" borderId="22" xfId="0" applyFont="1" applyBorder="1" applyAlignment="1">
      <alignment vertical="center"/>
    </xf>
    <xf numFmtId="0" fontId="2" fillId="0" borderId="24" xfId="0" applyFont="1" applyBorder="1" applyAlignment="1">
      <alignment horizontal="right" vertical="center" wrapText="1"/>
    </xf>
    <xf numFmtId="0" fontId="2" fillId="0" borderId="19" xfId="0" applyFont="1" applyBorder="1" applyAlignment="1">
      <alignment vertical="center" wrapText="1"/>
    </xf>
    <xf numFmtId="0" fontId="2" fillId="0" borderId="25" xfId="0" applyFont="1" applyBorder="1" applyAlignment="1">
      <alignment vertical="center"/>
    </xf>
    <xf numFmtId="0" fontId="2" fillId="0" borderId="26" xfId="0" applyFont="1" applyBorder="1" applyAlignment="1">
      <alignment horizontal="right" vertical="center" wrapText="1"/>
    </xf>
    <xf numFmtId="0" fontId="2" fillId="0" borderId="21" xfId="0" applyFont="1" applyBorder="1" applyAlignment="1">
      <alignment vertical="center" wrapText="1"/>
    </xf>
    <xf numFmtId="0" fontId="2" fillId="0" borderId="27" xfId="0" applyFont="1" applyBorder="1" applyAlignment="1">
      <alignment vertical="center"/>
    </xf>
    <xf numFmtId="0" fontId="2" fillId="0" borderId="28" xfId="0" applyFont="1" applyBorder="1" applyAlignment="1">
      <alignment horizontal="right" vertical="center" wrapText="1"/>
    </xf>
    <xf numFmtId="0" fontId="2" fillId="0" borderId="20" xfId="0" applyFont="1" applyBorder="1" applyAlignment="1">
      <alignment vertical="center" wrapText="1"/>
    </xf>
    <xf numFmtId="0" fontId="9" fillId="0" borderId="29" xfId="0" applyFont="1" applyBorder="1" applyAlignment="1">
      <alignment vertical="center"/>
    </xf>
    <xf numFmtId="0" fontId="2" fillId="0" borderId="16" xfId="0" applyFont="1" applyBorder="1" applyAlignment="1">
      <alignment horizontal="right" vertical="center" wrapText="1"/>
    </xf>
    <xf numFmtId="164" fontId="9" fillId="0" borderId="1" xfId="0" applyNumberFormat="1" applyFont="1" applyBorder="1" applyAlignment="1">
      <alignment horizontal="right" wrapText="1"/>
    </xf>
    <xf numFmtId="0" fontId="3" fillId="0" borderId="1" xfId="0" applyFont="1" applyBorder="1" applyAlignment="1" applyProtection="1">
      <alignment horizontal="right"/>
      <protection locked="0"/>
    </xf>
    <xf numFmtId="0" fontId="3" fillId="0" borderId="1" xfId="0" applyFont="1" applyBorder="1" applyAlignment="1" applyProtection="1">
      <alignment horizontal="right" wrapText="1"/>
      <protection locked="0"/>
    </xf>
    <xf numFmtId="170" fontId="3" fillId="0" borderId="1" xfId="0" applyNumberFormat="1" applyFont="1" applyBorder="1" applyAlignment="1" applyProtection="1">
      <alignment horizontal="right"/>
      <protection locked="0"/>
    </xf>
    <xf numFmtId="3" fontId="3" fillId="0" borderId="1" xfId="0" applyNumberFormat="1" applyFont="1" applyBorder="1" applyAlignment="1" applyProtection="1">
      <alignment horizontal="right"/>
      <protection locked="0"/>
    </xf>
    <xf numFmtId="9" fontId="3" fillId="0" borderId="1" xfId="0" applyNumberFormat="1" applyFont="1" applyBorder="1" applyAlignment="1">
      <alignment horizontal="right"/>
    </xf>
    <xf numFmtId="0" fontId="22" fillId="0" borderId="1" xfId="0" applyFont="1" applyBorder="1" applyAlignment="1">
      <alignment horizontal="right" wrapText="1"/>
    </xf>
    <xf numFmtId="0" fontId="3" fillId="0" borderId="1" xfId="0" applyFont="1" applyBorder="1" applyAlignment="1">
      <alignment horizontal="right"/>
    </xf>
    <xf numFmtId="0" fontId="4" fillId="0" borderId="15" xfId="0" applyFont="1" applyBorder="1" applyAlignment="1" applyProtection="1">
      <alignment horizontal="right"/>
      <protection locked="0"/>
    </xf>
    <xf numFmtId="0" fontId="4" fillId="0" borderId="15" xfId="0" applyFont="1" applyBorder="1" applyAlignment="1" applyProtection="1">
      <alignment horizontal="right" wrapText="1"/>
      <protection locked="0"/>
    </xf>
    <xf numFmtId="170" fontId="4" fillId="0" borderId="15" xfId="0" applyNumberFormat="1" applyFont="1" applyBorder="1" applyAlignment="1" applyProtection="1">
      <alignment horizontal="right"/>
      <protection locked="0"/>
    </xf>
    <xf numFmtId="3" fontId="4" fillId="0" borderId="15" xfId="0" applyNumberFormat="1" applyFont="1" applyBorder="1" applyAlignment="1" applyProtection="1">
      <alignment horizontal="right"/>
      <protection locked="0"/>
    </xf>
    <xf numFmtId="169" fontId="4" fillId="0" borderId="15" xfId="1" applyNumberFormat="1" applyFont="1" applyFill="1" applyBorder="1" applyAlignment="1" applyProtection="1">
      <alignment horizontal="right"/>
      <protection locked="0"/>
    </xf>
    <xf numFmtId="3" fontId="4" fillId="0" borderId="15" xfId="0" applyNumberFormat="1" applyFont="1" applyBorder="1" applyAlignment="1">
      <alignment horizontal="right"/>
    </xf>
    <xf numFmtId="9" fontId="4" fillId="0" borderId="15" xfId="0" applyNumberFormat="1" applyFont="1" applyBorder="1" applyAlignment="1">
      <alignment horizontal="right"/>
    </xf>
    <xf numFmtId="0" fontId="18" fillId="0" borderId="15" xfId="0" applyFont="1" applyBorder="1" applyAlignment="1">
      <alignment horizontal="right" wrapText="1"/>
    </xf>
    <xf numFmtId="0" fontId="4" fillId="0" borderId="16" xfId="0" applyFont="1" applyBorder="1" applyAlignment="1">
      <alignment horizontal="right"/>
    </xf>
    <xf numFmtId="0" fontId="4" fillId="0" borderId="22" xfId="0" applyFont="1" applyBorder="1" applyAlignment="1">
      <alignment horizontal="right"/>
    </xf>
    <xf numFmtId="0" fontId="4" fillId="0" borderId="23" xfId="0" applyFont="1" applyBorder="1" applyAlignment="1">
      <alignment horizontal="right"/>
    </xf>
    <xf numFmtId="0" fontId="3" fillId="0" borderId="23" xfId="0" applyFont="1" applyBorder="1"/>
    <xf numFmtId="0" fontId="2" fillId="0" borderId="24" xfId="0" applyFont="1" applyBorder="1" applyAlignment="1">
      <alignment horizontal="right"/>
    </xf>
    <xf numFmtId="0" fontId="4" fillId="0" borderId="25" xfId="0" applyFont="1" applyBorder="1" applyAlignment="1">
      <alignment horizontal="right"/>
    </xf>
    <xf numFmtId="0" fontId="2" fillId="0" borderId="1" xfId="0" applyFont="1" applyBorder="1"/>
    <xf numFmtId="38" fontId="2" fillId="0" borderId="1" xfId="1" applyNumberFormat="1" applyFont="1" applyFill="1" applyBorder="1" applyAlignment="1" applyProtection="1">
      <alignment horizontal="center"/>
    </xf>
    <xf numFmtId="0" fontId="11" fillId="0" borderId="26" xfId="0" applyFont="1" applyBorder="1" applyAlignment="1">
      <alignment horizontal="right"/>
    </xf>
    <xf numFmtId="0" fontId="4" fillId="0" borderId="1" xfId="0" applyFont="1" applyBorder="1"/>
    <xf numFmtId="38" fontId="4" fillId="0" borderId="29" xfId="1" applyNumberFormat="1" applyFont="1" applyFill="1" applyBorder="1" applyAlignment="1" applyProtection="1"/>
    <xf numFmtId="38" fontId="4" fillId="0" borderId="1" xfId="1" applyNumberFormat="1" applyFont="1" applyFill="1" applyBorder="1" applyAlignment="1" applyProtection="1"/>
    <xf numFmtId="0" fontId="4" fillId="0" borderId="1" xfId="0" applyFont="1" applyBorder="1" applyAlignment="1">
      <alignment wrapText="1"/>
    </xf>
    <xf numFmtId="0" fontId="4" fillId="0" borderId="1" xfId="0" applyFont="1" applyBorder="1" applyAlignment="1">
      <alignment horizontal="right" wrapText="1"/>
    </xf>
    <xf numFmtId="0" fontId="4" fillId="0" borderId="1" xfId="0" applyFont="1" applyBorder="1" applyAlignment="1">
      <alignment horizontal="right" wrapText="1" indent="4"/>
    </xf>
    <xf numFmtId="0" fontId="4" fillId="0" borderId="29" xfId="0" applyFont="1" applyBorder="1" applyAlignment="1">
      <alignment horizontal="right"/>
    </xf>
    <xf numFmtId="0" fontId="3" fillId="0" borderId="16" xfId="0" applyFont="1" applyBorder="1"/>
    <xf numFmtId="38" fontId="3" fillId="0" borderId="29" xfId="1" applyNumberFormat="1" applyFont="1" applyFill="1" applyBorder="1" applyAlignment="1" applyProtection="1"/>
    <xf numFmtId="38" fontId="3" fillId="0" borderId="1" xfId="1" applyNumberFormat="1" applyFont="1" applyFill="1" applyBorder="1" applyAlignment="1" applyProtection="1"/>
    <xf numFmtId="38" fontId="4" fillId="0" borderId="0" xfId="0" applyNumberFormat="1" applyFont="1"/>
    <xf numFmtId="0" fontId="4" fillId="0" borderId="16" xfId="0" applyFont="1" applyBorder="1"/>
    <xf numFmtId="0" fontId="4" fillId="0" borderId="16" xfId="0" applyFont="1" applyBorder="1" applyAlignment="1">
      <alignment wrapText="1"/>
    </xf>
    <xf numFmtId="10" fontId="4" fillId="0" borderId="1" xfId="2" applyNumberFormat="1" applyFont="1" applyFill="1" applyBorder="1" applyAlignment="1" applyProtection="1"/>
    <xf numFmtId="10" fontId="4" fillId="0" borderId="1" xfId="0" applyNumberFormat="1" applyFont="1" applyBorder="1"/>
    <xf numFmtId="10" fontId="3" fillId="0" borderId="1" xfId="0" applyNumberFormat="1" applyFont="1" applyBorder="1"/>
    <xf numFmtId="9" fontId="4" fillId="0" borderId="0" xfId="0" applyNumberFormat="1" applyFont="1"/>
    <xf numFmtId="38" fontId="4" fillId="0" borderId="0" xfId="1" applyNumberFormat="1" applyFont="1" applyFill="1" applyBorder="1" applyAlignment="1" applyProtection="1"/>
    <xf numFmtId="0" fontId="3" fillId="0" borderId="1" xfId="0" applyFont="1" applyBorder="1"/>
    <xf numFmtId="0" fontId="4" fillId="0" borderId="0" xfId="0" applyFont="1" applyAlignment="1">
      <alignment horizontal="right" readingOrder="2"/>
    </xf>
    <xf numFmtId="0" fontId="4" fillId="0" borderId="27" xfId="0" applyFont="1" applyBorder="1" applyAlignment="1">
      <alignment horizontal="right"/>
    </xf>
    <xf numFmtId="2" fontId="11" fillId="0" borderId="18" xfId="0" applyNumberFormat="1" applyFont="1" applyBorder="1" applyAlignment="1">
      <alignment horizontal="right"/>
    </xf>
    <xf numFmtId="0" fontId="4" fillId="0" borderId="18" xfId="0" applyFont="1" applyBorder="1" applyAlignment="1">
      <alignment horizontal="right"/>
    </xf>
    <xf numFmtId="38" fontId="4" fillId="0" borderId="1" xfId="1" applyNumberFormat="1" applyFont="1" applyFill="1" applyBorder="1" applyAlignment="1" applyProtection="1">
      <alignment horizontal="center"/>
    </xf>
    <xf numFmtId="0" fontId="3" fillId="0" borderId="26" xfId="0" applyFont="1" applyBorder="1" applyAlignment="1">
      <alignment horizontal="right"/>
    </xf>
    <xf numFmtId="0" fontId="3" fillId="0" borderId="1" xfId="0" applyFont="1" applyBorder="1" applyAlignment="1">
      <alignment wrapText="1"/>
    </xf>
    <xf numFmtId="38" fontId="3" fillId="4" borderId="1" xfId="0" applyNumberFormat="1" applyFont="1" applyFill="1" applyBorder="1" applyAlignment="1" applyProtection="1">
      <alignment horizontal="center"/>
      <protection locked="0"/>
    </xf>
    <xf numFmtId="0" fontId="3" fillId="0" borderId="0" xfId="0" applyFont="1" applyAlignment="1">
      <alignment horizontal="right"/>
    </xf>
    <xf numFmtId="38" fontId="3" fillId="0" borderId="0" xfId="0" applyNumberFormat="1" applyFont="1"/>
    <xf numFmtId="0" fontId="3" fillId="0" borderId="16" xfId="0" applyFont="1" applyBorder="1" applyAlignment="1">
      <alignment wrapText="1"/>
    </xf>
    <xf numFmtId="38" fontId="2" fillId="0" borderId="0" xfId="0" applyNumberFormat="1" applyFont="1" applyAlignment="1">
      <alignment horizontal="right"/>
    </xf>
    <xf numFmtId="0" fontId="11" fillId="0" borderId="0" xfId="0" applyFont="1"/>
    <xf numFmtId="0" fontId="11" fillId="0" borderId="1" xfId="0" applyFont="1" applyBorder="1" applyAlignment="1">
      <alignment horizontal="right" wrapText="1"/>
    </xf>
    <xf numFmtId="38" fontId="2" fillId="0" borderId="1" xfId="0" applyNumberFormat="1" applyFont="1" applyBorder="1" applyAlignment="1">
      <alignment horizontal="right" wrapText="1"/>
    </xf>
    <xf numFmtId="166" fontId="2" fillId="0" borderId="1" xfId="1" applyNumberFormat="1" applyFont="1" applyFill="1" applyBorder="1" applyAlignment="1" applyProtection="1">
      <alignment horizontal="right"/>
    </xf>
    <xf numFmtId="38" fontId="2" fillId="0" borderId="1" xfId="1" applyNumberFormat="1" applyFont="1" applyFill="1" applyBorder="1" applyAlignment="1" applyProtection="1">
      <alignment horizontal="right"/>
    </xf>
    <xf numFmtId="2" fontId="2" fillId="0" borderId="1" xfId="0" applyNumberFormat="1" applyFont="1" applyBorder="1"/>
    <xf numFmtId="38" fontId="2" fillId="0" borderId="0" xfId="0" applyNumberFormat="1" applyFont="1"/>
    <xf numFmtId="167" fontId="2" fillId="0" borderId="1" xfId="0" applyNumberFormat="1" applyFont="1" applyBorder="1"/>
    <xf numFmtId="0" fontId="9" fillId="0" borderId="15" xfId="0" applyFont="1" applyBorder="1"/>
    <xf numFmtId="0" fontId="9" fillId="0" borderId="15" xfId="0" applyFont="1" applyBorder="1" applyAlignment="1">
      <alignment horizontal="center"/>
    </xf>
    <xf numFmtId="166" fontId="9" fillId="0" borderId="1" xfId="0" applyNumberFormat="1" applyFont="1" applyBorder="1" applyAlignment="1">
      <alignment horizontal="right"/>
    </xf>
    <xf numFmtId="38" fontId="9" fillId="0" borderId="1" xfId="0" applyNumberFormat="1" applyFont="1" applyBorder="1" applyAlignment="1">
      <alignment horizontal="right"/>
    </xf>
    <xf numFmtId="38" fontId="9" fillId="0" borderId="0" xfId="0" applyNumberFormat="1" applyFont="1"/>
    <xf numFmtId="38" fontId="9" fillId="0" borderId="1" xfId="0" applyNumberFormat="1" applyFont="1" applyBorder="1" applyAlignment="1">
      <alignment horizontal="center"/>
    </xf>
    <xf numFmtId="38" fontId="2" fillId="0" borderId="15" xfId="0" applyNumberFormat="1" applyFont="1" applyBorder="1" applyAlignment="1">
      <alignment horizontal="right"/>
    </xf>
    <xf numFmtId="0" fontId="9" fillId="0" borderId="29" xfId="0" applyFont="1" applyBorder="1"/>
    <xf numFmtId="38" fontId="2" fillId="0" borderId="0" xfId="0" applyNumberFormat="1" applyFont="1" applyAlignment="1">
      <alignment horizontal="left"/>
    </xf>
    <xf numFmtId="0" fontId="16" fillId="0" borderId="0" xfId="0" applyFont="1" applyAlignment="1">
      <alignment horizontal="right"/>
    </xf>
    <xf numFmtId="0" fontId="9" fillId="0" borderId="1" xfId="0" applyFont="1" applyBorder="1" applyAlignment="1">
      <alignment wrapText="1" readingOrder="2"/>
    </xf>
    <xf numFmtId="0" fontId="9" fillId="0" borderId="15" xfId="0" applyFont="1" applyBorder="1" applyAlignment="1">
      <alignment horizontal="right" wrapText="1" readingOrder="2"/>
    </xf>
    <xf numFmtId="0" fontId="2" fillId="0" borderId="19" xfId="0" applyFont="1" applyBorder="1" applyAlignment="1">
      <alignment horizontal="right"/>
    </xf>
    <xf numFmtId="164" fontId="2" fillId="0" borderId="1" xfId="0" applyNumberFormat="1" applyFont="1" applyBorder="1" applyAlignment="1">
      <alignment horizontal="right" wrapText="1" readingOrder="2"/>
    </xf>
    <xf numFmtId="38" fontId="2" fillId="0" borderId="1" xfId="0" applyNumberFormat="1" applyFont="1" applyBorder="1" applyAlignment="1">
      <alignment wrapText="1" readingOrder="1"/>
    </xf>
    <xf numFmtId="1" fontId="2" fillId="0" borderId="1" xfId="0" applyNumberFormat="1" applyFont="1" applyBorder="1" applyAlignment="1">
      <alignment horizontal="right" readingOrder="2"/>
    </xf>
    <xf numFmtId="38" fontId="9" fillId="0" borderId="1" xfId="0" applyNumberFormat="1" applyFont="1" applyBorder="1" applyAlignment="1">
      <alignment wrapText="1" readingOrder="2"/>
    </xf>
    <xf numFmtId="165" fontId="2" fillId="0" borderId="1" xfId="1" applyNumberFormat="1" applyFont="1" applyFill="1" applyBorder="1" applyAlignment="1" applyProtection="1">
      <alignment horizontal="right"/>
    </xf>
    <xf numFmtId="0" fontId="9" fillId="0" borderId="20" xfId="0" applyFont="1" applyBorder="1" applyAlignment="1">
      <alignment wrapText="1" readingOrder="2"/>
    </xf>
    <xf numFmtId="0" fontId="9" fillId="0" borderId="26" xfId="0" applyFont="1" applyBorder="1" applyAlignment="1">
      <alignment horizontal="right"/>
    </xf>
    <xf numFmtId="0" fontId="2" fillId="0" borderId="26" xfId="0" applyFont="1" applyBorder="1" applyAlignment="1">
      <alignment horizontal="right"/>
    </xf>
    <xf numFmtId="0" fontId="2" fillId="0" borderId="28" xfId="0" applyFont="1" applyBorder="1" applyAlignment="1">
      <alignment horizontal="right"/>
    </xf>
    <xf numFmtId="38" fontId="9" fillId="0" borderId="1" xfId="0" applyNumberFormat="1" applyFont="1" applyBorder="1" applyAlignment="1">
      <alignment wrapText="1" readingOrder="1"/>
    </xf>
    <xf numFmtId="165" fontId="9" fillId="0" borderId="1" xfId="1" applyNumberFormat="1" applyFont="1" applyFill="1" applyBorder="1" applyAlignment="1" applyProtection="1">
      <alignment horizontal="right"/>
    </xf>
    <xf numFmtId="38" fontId="4" fillId="0" borderId="0" xfId="0" applyNumberFormat="1" applyFont="1" applyAlignment="1">
      <alignment horizontal="left"/>
    </xf>
    <xf numFmtId="0" fontId="3" fillId="0" borderId="0" xfId="0" applyFont="1" applyAlignment="1">
      <alignment horizontal="center"/>
    </xf>
    <xf numFmtId="0" fontId="9" fillId="0" borderId="1" xfId="0" applyFont="1" applyBorder="1" applyAlignment="1">
      <alignment wrapText="1"/>
    </xf>
    <xf numFmtId="0" fontId="9" fillId="0" borderId="29" xfId="0" applyFont="1" applyBorder="1" applyAlignment="1">
      <alignment horizontal="right" wrapText="1" readingOrder="2"/>
    </xf>
    <xf numFmtId="0" fontId="3" fillId="0" borderId="1" xfId="0" applyFont="1" applyBorder="1" applyAlignment="1">
      <alignment horizontal="right" wrapText="1"/>
    </xf>
    <xf numFmtId="0" fontId="9" fillId="0" borderId="15" xfId="0" applyFont="1" applyBorder="1" applyAlignment="1">
      <alignment horizontal="right" readingOrder="2"/>
    </xf>
    <xf numFmtId="0" fontId="9" fillId="0" borderId="29" xfId="0" applyFont="1" applyBorder="1" applyAlignment="1">
      <alignment horizontal="right" readingOrder="2"/>
    </xf>
    <xf numFmtId="38" fontId="2" fillId="0" borderId="15" xfId="0" applyNumberFormat="1" applyFont="1" applyBorder="1"/>
    <xf numFmtId="3" fontId="9" fillId="0" borderId="15" xfId="0" applyNumberFormat="1" applyFont="1" applyBorder="1" applyAlignment="1">
      <alignment wrapText="1"/>
    </xf>
    <xf numFmtId="164" fontId="9" fillId="0" borderId="15" xfId="0" applyNumberFormat="1" applyFont="1" applyBorder="1" applyAlignment="1">
      <alignment wrapText="1"/>
    </xf>
    <xf numFmtId="0" fontId="9" fillId="0" borderId="20" xfId="0" applyFont="1" applyBorder="1" applyAlignment="1">
      <alignment readingOrder="2"/>
    </xf>
    <xf numFmtId="0" fontId="18" fillId="0" borderId="15" xfId="0" applyFont="1" applyBorder="1" applyAlignment="1">
      <alignment horizontal="right"/>
    </xf>
    <xf numFmtId="169" fontId="3" fillId="0" borderId="29" xfId="1" applyNumberFormat="1" applyFont="1" applyFill="1" applyBorder="1" applyAlignment="1" applyProtection="1">
      <alignment horizontal="right"/>
      <protection locked="0"/>
    </xf>
    <xf numFmtId="169" fontId="3" fillId="0" borderId="29" xfId="1" applyNumberFormat="1" applyFont="1" applyFill="1" applyBorder="1" applyAlignment="1" applyProtection="1">
      <alignment horizontal="right" wrapText="1"/>
      <protection locked="0"/>
    </xf>
    <xf numFmtId="0" fontId="9" fillId="0" borderId="16" xfId="0" applyFont="1" applyBorder="1" applyAlignment="1">
      <alignment horizontal="center"/>
    </xf>
    <xf numFmtId="171" fontId="23" fillId="7" borderId="1" xfId="5" applyNumberFormat="1" applyFont="1" applyFill="1" applyBorder="1" applyAlignment="1" applyProtection="1">
      <alignment wrapText="1"/>
      <protection locked="0"/>
    </xf>
    <xf numFmtId="171" fontId="23" fillId="0" borderId="1" xfId="5" applyNumberFormat="1" applyFont="1" applyBorder="1" applyAlignment="1">
      <alignment horizontal="right" wrapText="1"/>
    </xf>
    <xf numFmtId="171" fontId="3" fillId="7" borderId="1" xfId="5" applyNumberFormat="1" applyFont="1" applyFill="1" applyBorder="1" applyAlignment="1" applyProtection="1">
      <alignment wrapText="1"/>
      <protection locked="0"/>
    </xf>
    <xf numFmtId="3" fontId="4" fillId="6" borderId="19" xfId="0" applyNumberFormat="1" applyFont="1" applyFill="1" applyBorder="1" applyAlignment="1" applyProtection="1">
      <alignment horizontal="right"/>
      <protection locked="0"/>
    </xf>
    <xf numFmtId="3" fontId="4" fillId="6" borderId="21" xfId="0" applyNumberFormat="1" applyFont="1" applyFill="1" applyBorder="1" applyAlignment="1" applyProtection="1">
      <alignment horizontal="right"/>
      <protection locked="0"/>
    </xf>
    <xf numFmtId="3" fontId="4" fillId="6" borderId="20" xfId="0" applyNumberFormat="1" applyFont="1" applyFill="1" applyBorder="1" applyAlignment="1" applyProtection="1">
      <alignment horizontal="right"/>
      <protection locked="0"/>
    </xf>
    <xf numFmtId="0" fontId="11" fillId="0" borderId="28" xfId="0" applyFont="1" applyBorder="1" applyAlignment="1">
      <alignment horizontal="right"/>
    </xf>
    <xf numFmtId="0" fontId="23" fillId="8" borderId="1" xfId="0" applyFont="1" applyFill="1" applyBorder="1" applyAlignment="1" applyProtection="1">
      <alignment horizontal="right"/>
      <protection locked="0"/>
    </xf>
    <xf numFmtId="0" fontId="23" fillId="8" borderId="1" xfId="0" applyFont="1" applyFill="1" applyBorder="1" applyAlignment="1" applyProtection="1">
      <alignment horizontal="center"/>
      <protection locked="0"/>
    </xf>
    <xf numFmtId="0" fontId="23" fillId="8" borderId="1" xfId="0" applyFont="1" applyFill="1" applyBorder="1" applyProtection="1">
      <protection locked="0"/>
    </xf>
    <xf numFmtId="0" fontId="23" fillId="8" borderId="1" xfId="0" applyFont="1" applyFill="1" applyBorder="1" applyAlignment="1" applyProtection="1">
      <alignment horizontal="right" wrapText="1"/>
      <protection locked="0"/>
    </xf>
    <xf numFmtId="0" fontId="23" fillId="7" borderId="1" xfId="5" applyFont="1" applyFill="1" applyBorder="1" applyAlignment="1" applyProtection="1">
      <alignment wrapText="1"/>
      <protection locked="0"/>
    </xf>
    <xf numFmtId="170" fontId="23" fillId="7" borderId="1" xfId="5" applyNumberFormat="1" applyFont="1" applyFill="1" applyBorder="1" applyAlignment="1" applyProtection="1">
      <alignment wrapText="1"/>
      <protection locked="0"/>
    </xf>
    <xf numFmtId="170" fontId="4" fillId="0" borderId="0" xfId="0" applyNumberFormat="1" applyFont="1" applyAlignment="1">
      <alignment horizontal="right"/>
    </xf>
    <xf numFmtId="0" fontId="4" fillId="0" borderId="0" xfId="0" applyFont="1" applyAlignment="1">
      <alignment horizontal="right" readingOrder="1"/>
    </xf>
    <xf numFmtId="0" fontId="25" fillId="0" borderId="2" xfId="0" applyFont="1" applyBorder="1" applyAlignment="1">
      <alignment horizontal="right" vertical="center" wrapText="1" readingOrder="2"/>
    </xf>
    <xf numFmtId="0" fontId="25" fillId="0" borderId="1" xfId="0" applyFont="1" applyBorder="1" applyAlignment="1">
      <alignment horizontal="center" vertical="center" wrapText="1" readingOrder="2"/>
    </xf>
    <xf numFmtId="164" fontId="25" fillId="0" borderId="1" xfId="0" applyNumberFormat="1" applyFont="1" applyBorder="1" applyAlignment="1">
      <alignment horizontal="center" vertical="center" wrapText="1" readingOrder="1"/>
    </xf>
    <xf numFmtId="1" fontId="25" fillId="0" borderId="1" xfId="0" applyNumberFormat="1" applyFont="1" applyBorder="1" applyAlignment="1">
      <alignment horizontal="center" vertical="center" wrapText="1" readingOrder="1"/>
    </xf>
    <xf numFmtId="164" fontId="25" fillId="0" borderId="3" xfId="0" applyNumberFormat="1" applyFont="1" applyBorder="1" applyAlignment="1">
      <alignment horizontal="center" vertical="center" wrapText="1" readingOrder="1"/>
    </xf>
    <xf numFmtId="164" fontId="24" fillId="0" borderId="1" xfId="0" applyNumberFormat="1" applyFont="1" applyBorder="1" applyAlignment="1">
      <alignment horizontal="center" vertical="center" wrapText="1" readingOrder="1"/>
    </xf>
    <xf numFmtId="49" fontId="25" fillId="0" borderId="1" xfId="0" applyNumberFormat="1" applyFont="1" applyBorder="1" applyAlignment="1">
      <alignment horizontal="center" vertical="center" wrapText="1" readingOrder="2"/>
    </xf>
    <xf numFmtId="0" fontId="25" fillId="0" borderId="1" xfId="0" applyFont="1" applyBorder="1" applyAlignment="1">
      <alignment horizontal="center" wrapText="1" readingOrder="2"/>
    </xf>
    <xf numFmtId="0" fontId="25" fillId="0" borderId="0" xfId="0" applyFont="1"/>
    <xf numFmtId="0" fontId="25" fillId="0" borderId="0" xfId="0" applyFont="1" applyAlignment="1">
      <alignment horizontal="right"/>
    </xf>
    <xf numFmtId="0" fontId="25" fillId="0" borderId="0" xfId="0" applyFont="1" applyAlignment="1">
      <alignment horizontal="right" readingOrder="2"/>
    </xf>
    <xf numFmtId="0" fontId="25" fillId="0" borderId="0" xfId="0" applyFont="1" applyAlignment="1">
      <alignment readingOrder="2"/>
    </xf>
    <xf numFmtId="0" fontId="25" fillId="0" borderId="17" xfId="0" applyFont="1" applyBorder="1" applyAlignment="1">
      <alignment horizontal="right" vertical="center" wrapText="1" readingOrder="2"/>
    </xf>
    <xf numFmtId="0" fontId="25" fillId="0" borderId="29" xfId="0" applyFont="1" applyBorder="1" applyAlignment="1">
      <alignment horizontal="center" vertical="center"/>
    </xf>
    <xf numFmtId="0" fontId="25" fillId="0" borderId="15" xfId="0" applyFont="1" applyBorder="1" applyAlignment="1">
      <alignment horizontal="center" vertical="center"/>
    </xf>
    <xf numFmtId="0" fontId="25" fillId="0" borderId="16" xfId="0" applyFont="1" applyBorder="1" applyAlignment="1">
      <alignment horizontal="center" vertical="center"/>
    </xf>
    <xf numFmtId="0" fontId="25" fillId="0" borderId="30" xfId="0" applyFont="1" applyBorder="1" applyAlignment="1">
      <alignment horizontal="right" vertical="center" wrapText="1" readingOrder="2"/>
    </xf>
    <xf numFmtId="0" fontId="25" fillId="0" borderId="3" xfId="0" applyFont="1" applyBorder="1" applyAlignment="1">
      <alignment horizontal="center" vertical="center" wrapText="1" readingOrder="2"/>
    </xf>
    <xf numFmtId="0" fontId="25" fillId="0" borderId="1" xfId="0" applyFont="1" applyBorder="1" applyAlignment="1">
      <alignment horizontal="right" wrapText="1" readingOrder="2"/>
    </xf>
    <xf numFmtId="0" fontId="25" fillId="0" borderId="2" xfId="0" applyFont="1" applyBorder="1" applyAlignment="1">
      <alignment horizontal="right" wrapText="1" readingOrder="2"/>
    </xf>
    <xf numFmtId="0" fontId="25" fillId="0" borderId="1" xfId="0" applyFont="1" applyBorder="1" applyAlignment="1">
      <alignment wrapText="1" readingOrder="2"/>
    </xf>
    <xf numFmtId="1" fontId="25" fillId="0" borderId="1" xfId="0" applyNumberFormat="1" applyFont="1" applyBorder="1" applyAlignment="1">
      <alignment wrapText="1" readingOrder="2"/>
    </xf>
    <xf numFmtId="0" fontId="25" fillId="0" borderId="3" xfId="0" applyFont="1" applyBorder="1" applyAlignment="1">
      <alignment wrapText="1" readingOrder="2"/>
    </xf>
    <xf numFmtId="0" fontId="26" fillId="0" borderId="2" xfId="0" applyFont="1" applyBorder="1" applyAlignment="1">
      <alignment horizontal="right" vertical="center" wrapText="1" readingOrder="2"/>
    </xf>
    <xf numFmtId="0" fontId="26" fillId="0" borderId="1" xfId="0" applyFont="1" applyBorder="1" applyAlignment="1">
      <alignment horizontal="center" wrapText="1" readingOrder="2"/>
    </xf>
    <xf numFmtId="164" fontId="26" fillId="0" borderId="1" xfId="0" applyNumberFormat="1" applyFont="1" applyBorder="1" applyAlignment="1">
      <alignment horizontal="center" vertical="center" wrapText="1" readingOrder="1"/>
    </xf>
    <xf numFmtId="1" fontId="26" fillId="0" borderId="1" xfId="0" applyNumberFormat="1" applyFont="1" applyBorder="1" applyAlignment="1">
      <alignment horizontal="center" vertical="center" wrapText="1" readingOrder="1"/>
    </xf>
    <xf numFmtId="0" fontId="26" fillId="0" borderId="4" xfId="0" applyFont="1" applyBorder="1" applyAlignment="1">
      <alignment horizontal="right" vertical="center" wrapText="1" readingOrder="2"/>
    </xf>
    <xf numFmtId="0" fontId="26" fillId="0" borderId="5" xfId="0" applyFont="1" applyBorder="1" applyAlignment="1">
      <alignment vertical="center" wrapText="1" readingOrder="2"/>
    </xf>
    <xf numFmtId="164" fontId="26" fillId="0" borderId="6" xfId="0" applyNumberFormat="1" applyFont="1" applyBorder="1" applyAlignment="1">
      <alignment horizontal="center" vertical="center" wrapText="1" readingOrder="1"/>
    </xf>
    <xf numFmtId="1" fontId="26" fillId="0" borderId="5" xfId="0" applyNumberFormat="1" applyFont="1" applyBorder="1" applyAlignment="1">
      <alignment horizontal="center" vertical="center" wrapText="1" readingOrder="1"/>
    </xf>
    <xf numFmtId="0" fontId="26" fillId="0" borderId="5" xfId="0" applyFont="1" applyBorder="1" applyAlignment="1">
      <alignment horizontal="right" wrapText="1" readingOrder="2"/>
    </xf>
    <xf numFmtId="164" fontId="26" fillId="0" borderId="5" xfId="0" applyNumberFormat="1" applyFont="1" applyBorder="1" applyAlignment="1">
      <alignment horizontal="center" vertical="center" wrapText="1" readingOrder="1"/>
    </xf>
    <xf numFmtId="0" fontId="27" fillId="0" borderId="0" xfId="0" applyFont="1" applyAlignment="1">
      <alignment horizontal="right"/>
    </xf>
    <xf numFmtId="1" fontId="9" fillId="0" borderId="1" xfId="0" applyNumberFormat="1" applyFont="1" applyBorder="1" applyAlignment="1">
      <alignment horizontal="right" readingOrder="2"/>
    </xf>
    <xf numFmtId="0" fontId="14" fillId="0" borderId="0" xfId="0" applyFont="1"/>
    <xf numFmtId="38" fontId="7" fillId="0" borderId="15" xfId="0" applyNumberFormat="1" applyFont="1" applyBorder="1" applyAlignment="1">
      <alignment horizontal="right"/>
    </xf>
    <xf numFmtId="3" fontId="2" fillId="0" borderId="1" xfId="4" applyNumberFormat="1" applyFont="1" applyFill="1" applyBorder="1" applyAlignment="1" applyProtection="1">
      <alignment horizontal="right"/>
    </xf>
    <xf numFmtId="0" fontId="4" fillId="0" borderId="1" xfId="0" applyFont="1" applyBorder="1" applyAlignment="1">
      <alignment horizontal="right" wrapText="1" readingOrder="2"/>
    </xf>
    <xf numFmtId="0" fontId="4" fillId="0" borderId="0" xfId="0" applyFont="1" applyAlignment="1">
      <alignment horizontal="right" wrapText="1"/>
    </xf>
    <xf numFmtId="0" fontId="28" fillId="0" borderId="0" xfId="0" applyFont="1" applyAlignment="1">
      <alignment horizontal="right" readingOrder="1"/>
    </xf>
    <xf numFmtId="172" fontId="29" fillId="0" borderId="1" xfId="5" applyNumberFormat="1" applyFont="1" applyBorder="1" applyAlignment="1">
      <alignment horizontal="right" wrapText="1"/>
    </xf>
    <xf numFmtId="9" fontId="11" fillId="0" borderId="0" xfId="0" applyNumberFormat="1" applyFont="1" applyAlignment="1">
      <alignment horizontal="right"/>
    </xf>
    <xf numFmtId="0" fontId="14" fillId="0" borderId="0" xfId="0" applyFont="1" applyAlignment="1">
      <alignment horizontal="right"/>
    </xf>
    <xf numFmtId="0" fontId="11" fillId="0" borderId="0" xfId="0" applyFont="1" applyAlignment="1" applyProtection="1">
      <alignment horizontal="right"/>
    </xf>
    <xf numFmtId="0" fontId="9" fillId="2" borderId="10" xfId="0" applyFont="1" applyFill="1" applyBorder="1" applyAlignment="1">
      <alignment horizontal="center" vertical="center" wrapText="1" readingOrder="2"/>
    </xf>
    <xf numFmtId="0" fontId="9" fillId="2" borderId="0" xfId="0" applyFont="1" applyFill="1" applyAlignment="1">
      <alignment horizontal="center" vertical="center" wrapText="1" readingOrder="2"/>
    </xf>
    <xf numFmtId="0" fontId="9" fillId="2" borderId="11" xfId="0" applyFont="1" applyFill="1" applyBorder="1" applyAlignment="1">
      <alignment horizontal="center" vertical="center" wrapText="1" readingOrder="2"/>
    </xf>
    <xf numFmtId="0" fontId="2" fillId="2" borderId="10" xfId="0" applyFont="1" applyFill="1" applyBorder="1" applyAlignment="1">
      <alignment horizontal="right" wrapText="1" readingOrder="2"/>
    </xf>
    <xf numFmtId="0" fontId="2" fillId="2" borderId="0" xfId="0" applyFont="1" applyFill="1" applyAlignment="1">
      <alignment horizontal="right" wrapText="1" readingOrder="2"/>
    </xf>
    <xf numFmtId="0" fontId="2" fillId="2" borderId="11" xfId="0" applyFont="1" applyFill="1" applyBorder="1" applyAlignment="1">
      <alignment horizontal="right" wrapText="1" readingOrder="2"/>
    </xf>
    <xf numFmtId="0" fontId="2" fillId="2" borderId="10" xfId="0" applyFont="1" applyFill="1" applyBorder="1" applyAlignment="1">
      <alignment horizontal="right" vertical="center" wrapText="1"/>
    </xf>
    <xf numFmtId="0" fontId="2" fillId="2" borderId="0" xfId="0" applyFont="1" applyFill="1" applyAlignment="1">
      <alignment horizontal="right" vertical="center" wrapText="1"/>
    </xf>
    <xf numFmtId="0" fontId="2" fillId="2" borderId="11" xfId="0" applyFont="1" applyFill="1" applyBorder="1" applyAlignment="1">
      <alignment horizontal="right"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20" fillId="2" borderId="0" xfId="0" applyFont="1" applyFill="1" applyAlignment="1">
      <alignment horizontal="center" readingOrder="2"/>
    </xf>
    <xf numFmtId="0" fontId="20" fillId="2" borderId="0" xfId="0" applyFont="1" applyFill="1" applyAlignment="1">
      <alignment horizontal="center" vertical="center" readingOrder="2"/>
    </xf>
    <xf numFmtId="0" fontId="2" fillId="2" borderId="10" xfId="0" applyFont="1" applyFill="1" applyBorder="1" applyAlignment="1">
      <alignment horizontal="right" vertical="center" wrapText="1" readingOrder="2"/>
    </xf>
    <xf numFmtId="0" fontId="2" fillId="2" borderId="0" xfId="0" applyFont="1" applyFill="1" applyAlignment="1">
      <alignment horizontal="right" vertical="center" wrapText="1" readingOrder="2"/>
    </xf>
    <xf numFmtId="0" fontId="2" fillId="2" borderId="11" xfId="0" applyFont="1" applyFill="1" applyBorder="1" applyAlignment="1">
      <alignment horizontal="right" vertical="center" wrapText="1" readingOrder="2"/>
    </xf>
    <xf numFmtId="0" fontId="2" fillId="0" borderId="10" xfId="0" applyFont="1" applyBorder="1" applyAlignment="1">
      <alignment horizontal="right" vertical="center" wrapText="1" readingOrder="2"/>
    </xf>
    <xf numFmtId="0" fontId="2" fillId="0" borderId="0" xfId="0" applyFont="1" applyAlignment="1">
      <alignment horizontal="right" vertical="center" wrapText="1" readingOrder="2"/>
    </xf>
    <xf numFmtId="0" fontId="2" fillId="0" borderId="11" xfId="0" applyFont="1" applyBorder="1" applyAlignment="1">
      <alignment horizontal="right" vertical="center" wrapText="1" readingOrder="2"/>
    </xf>
  </cellXfs>
  <cellStyles count="6">
    <cellStyle name="Comma" xfId="1" builtinId="3"/>
    <cellStyle name="Currency" xfId="4" builtinId="4"/>
    <cellStyle name="Hyperlink 2" xfId="3"/>
    <cellStyle name="Normal" xfId="0" builtinId="0"/>
    <cellStyle name="Normal 2" xfId="5"/>
    <cellStyle name="Percent" xfId="2" builtinId="5"/>
  </cellStyles>
  <dxfs count="71">
    <dxf>
      <font>
        <b/>
        <strike val="0"/>
        <color rgb="FFFF0000"/>
      </font>
    </dxf>
    <dxf>
      <font>
        <color rgb="FF9C0006"/>
      </font>
    </dxf>
    <dxf>
      <font>
        <color rgb="FF9C0006"/>
      </font>
    </dxf>
    <dxf>
      <font>
        <b/>
        <strike val="0"/>
        <color rgb="FFFF0000"/>
      </font>
    </dxf>
    <dxf>
      <font>
        <color rgb="FF9C0006"/>
      </font>
    </dxf>
    <dxf>
      <font>
        <color rgb="FF9C0006"/>
      </font>
    </dxf>
    <dxf>
      <font>
        <b/>
        <strike val="0"/>
        <color rgb="FFFF0000"/>
      </font>
    </dxf>
    <dxf>
      <font>
        <color rgb="FF9C0006"/>
      </font>
    </dxf>
    <dxf>
      <font>
        <color rgb="FF9C0006"/>
      </font>
    </dxf>
    <dxf>
      <font>
        <color rgb="FF9C0006"/>
      </font>
      <fill>
        <patternFill>
          <bgColor rgb="FFFFC7CE"/>
        </patternFill>
      </fill>
    </dxf>
    <dxf>
      <font>
        <strike val="0"/>
        <color auto="1"/>
      </font>
      <fill>
        <patternFill>
          <bgColor rgb="FFFFC7CE"/>
        </patternFill>
      </fill>
    </dxf>
    <dxf>
      <font>
        <color rgb="FF9C0006"/>
      </font>
    </dxf>
    <dxf>
      <font>
        <b/>
        <strike val="0"/>
        <color rgb="FFFF0000"/>
      </font>
    </dxf>
    <dxf>
      <font>
        <color rgb="FF9C0006"/>
      </font>
    </dxf>
    <dxf>
      <font>
        <color rgb="FF9C0006"/>
      </font>
    </dxf>
    <dxf>
      <font>
        <color rgb="FF9C0006"/>
      </font>
    </dxf>
    <dxf>
      <font>
        <color rgb="FF9C0006"/>
      </font>
      <fill>
        <patternFill>
          <bgColor rgb="FFFFC7CE"/>
        </patternFill>
      </fill>
    </dxf>
    <dxf>
      <font>
        <strike val="0"/>
        <color auto="1"/>
      </font>
      <fill>
        <patternFill>
          <bgColor rgb="FFFFC7CE"/>
        </patternFill>
      </fill>
    </dxf>
    <dxf>
      <font>
        <color rgb="FF9C0006"/>
      </font>
    </dxf>
    <dxf>
      <font>
        <color rgb="FF9C0006"/>
      </font>
      <fill>
        <patternFill>
          <bgColor rgb="FFFFC7CE"/>
        </patternFill>
      </fill>
    </dxf>
    <dxf>
      <font>
        <strike val="0"/>
        <color auto="1"/>
      </font>
      <fill>
        <patternFill>
          <bgColor rgb="FFFFC7CE"/>
        </patternFill>
      </fill>
    </dxf>
    <dxf>
      <font>
        <color rgb="FF9C0006"/>
      </font>
    </dxf>
    <dxf>
      <font>
        <color rgb="FF9C0006"/>
      </font>
    </dxf>
    <dxf>
      <font>
        <b/>
        <strike val="0"/>
        <color rgb="FFFF0000"/>
      </font>
    </dxf>
    <dxf>
      <font>
        <color rgb="FF9C0006"/>
      </font>
    </dxf>
    <dxf>
      <font>
        <color rgb="FF9C0006"/>
      </font>
    </dxf>
    <dxf>
      <font>
        <color rgb="FF9C0006"/>
      </font>
    </dxf>
    <dxf>
      <font>
        <color rgb="FF9C0006"/>
      </font>
    </dxf>
    <dxf>
      <font>
        <color rgb="FF9C0006"/>
      </font>
    </dxf>
    <dxf>
      <font>
        <color rgb="FF9C0006"/>
      </font>
    </dxf>
    <dxf>
      <font>
        <color rgb="FF9C0006"/>
      </font>
      <fill>
        <patternFill>
          <bgColor rgb="FFFFC7CE"/>
        </patternFill>
      </fill>
    </dxf>
    <dxf>
      <font>
        <strike val="0"/>
        <color auto="1"/>
      </font>
      <fill>
        <patternFill>
          <bgColor rgb="FFFFC7CE"/>
        </patternFill>
      </fill>
    </dxf>
    <dxf>
      <font>
        <color rgb="FF9C0006"/>
      </font>
    </dxf>
    <dxf>
      <font>
        <color rgb="FF9C0006"/>
      </font>
      <fill>
        <patternFill>
          <bgColor rgb="FFFFC7CE"/>
        </patternFill>
      </fill>
    </dxf>
    <dxf>
      <font>
        <strike val="0"/>
        <color auto="1"/>
      </font>
      <fill>
        <patternFill>
          <bgColor rgb="FFFFC7CE"/>
        </patternFill>
      </fill>
    </dxf>
    <dxf>
      <font>
        <color rgb="FF9C0006"/>
      </font>
    </dxf>
    <dxf>
      <font>
        <color rgb="FF9C0006"/>
      </font>
      <fill>
        <patternFill>
          <bgColor rgb="FFFFC7CE"/>
        </patternFill>
      </fill>
    </dxf>
    <dxf>
      <font>
        <strike val="0"/>
        <color auto="1"/>
      </font>
      <fill>
        <patternFill>
          <bgColor rgb="FFFFC7CE"/>
        </patternFill>
      </fill>
    </dxf>
    <dxf>
      <font>
        <color rgb="FF9C0006"/>
      </font>
    </dxf>
    <dxf>
      <font>
        <color rgb="FF9C0006"/>
      </font>
      <fill>
        <patternFill>
          <bgColor rgb="FFFFC7CE"/>
        </patternFill>
      </fill>
    </dxf>
    <dxf>
      <font>
        <strike val="0"/>
        <color auto="1"/>
      </font>
      <fill>
        <patternFill>
          <bgColor rgb="FFFFC7CE"/>
        </patternFill>
      </fill>
    </dxf>
    <dxf>
      <font>
        <color rgb="FF9C0006"/>
      </font>
    </dxf>
    <dxf>
      <font>
        <color rgb="FF9C0006"/>
      </font>
      <fill>
        <patternFill>
          <bgColor rgb="FFFFC7CE"/>
        </patternFill>
      </fill>
    </dxf>
    <dxf>
      <font>
        <strike val="0"/>
        <color auto="1"/>
      </font>
      <fill>
        <patternFill>
          <bgColor rgb="FFFFC7CE"/>
        </patternFill>
      </fill>
    </dxf>
    <dxf>
      <font>
        <color rgb="FF9C0006"/>
      </font>
    </dxf>
    <dxf>
      <font>
        <color rgb="FF9C0006"/>
      </font>
    </dxf>
    <dxf>
      <font>
        <color rgb="FF9C0006"/>
      </font>
    </dxf>
    <dxf>
      <font>
        <color rgb="FF9C0006"/>
      </font>
    </dxf>
    <dxf>
      <font>
        <color rgb="FF9C0006"/>
      </font>
    </dxf>
    <dxf>
      <font>
        <b/>
        <strike val="0"/>
        <color rgb="FFFF0000"/>
      </font>
    </dxf>
    <dxf>
      <font>
        <color rgb="FF9C0006"/>
      </font>
    </dxf>
    <dxf>
      <font>
        <color rgb="FF9C0006"/>
      </font>
    </dxf>
    <dxf>
      <font>
        <color rgb="FF9C0006"/>
      </font>
    </dxf>
    <dxf>
      <font>
        <color rgb="FF9C0006"/>
      </font>
    </dxf>
    <dxf>
      <font>
        <color rgb="FF9C0006"/>
      </font>
      <fill>
        <patternFill>
          <bgColor rgb="FFFFC7CE"/>
        </patternFill>
      </fill>
    </dxf>
    <dxf>
      <font>
        <strike val="0"/>
        <color auto="1"/>
      </font>
      <fill>
        <patternFill>
          <bgColor rgb="FFFFC7CE"/>
        </patternFill>
      </fill>
    </dxf>
    <dxf>
      <font>
        <color rgb="FF9C0006"/>
      </font>
    </dxf>
    <dxf>
      <font>
        <color rgb="FF9C0006"/>
      </font>
      <fill>
        <patternFill>
          <bgColor rgb="FFFFC7CE"/>
        </patternFill>
      </fill>
    </dxf>
    <dxf>
      <font>
        <strike val="0"/>
        <color auto="1"/>
      </font>
      <fill>
        <patternFill>
          <bgColor rgb="FFFFC7CE"/>
        </patternFill>
      </fill>
    </dxf>
    <dxf>
      <font>
        <color rgb="FF9C0006"/>
      </font>
    </dxf>
    <dxf>
      <font>
        <color rgb="FF9C0006"/>
      </font>
      <fill>
        <patternFill>
          <bgColor rgb="FFFFC7CE"/>
        </patternFill>
      </fill>
    </dxf>
    <dxf>
      <font>
        <strike val="0"/>
        <color auto="1"/>
      </font>
      <fill>
        <patternFill>
          <bgColor rgb="FFFFC7CE"/>
        </patternFill>
      </fill>
    </dxf>
    <dxf>
      <font>
        <color rgb="FF9C0006"/>
      </font>
    </dxf>
    <dxf>
      <font>
        <color rgb="FF9C0006"/>
      </font>
    </dxf>
    <dxf>
      <font>
        <color rgb="FF9C0006"/>
      </font>
    </dxf>
    <dxf>
      <font>
        <b/>
        <strike val="0"/>
        <color rgb="FFFF0000"/>
      </font>
    </dxf>
    <dxf>
      <font>
        <color rgb="FF9C0006"/>
      </font>
    </dxf>
    <dxf>
      <font>
        <color rgb="FF9C0006"/>
      </font>
    </dxf>
    <dxf>
      <font>
        <color rgb="FF9C0006"/>
      </font>
      <fill>
        <patternFill>
          <bgColor rgb="FFFFC7CE"/>
        </patternFill>
      </fill>
    </dxf>
    <dxf>
      <font>
        <strike val="0"/>
        <color auto="1"/>
      </font>
      <fill>
        <patternFill>
          <bgColor rgb="FFFFC7CE"/>
        </patternFill>
      </fill>
    </dxf>
    <dxf>
      <font>
        <color rgb="FF9C0006"/>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409576</xdr:colOff>
      <xdr:row>1</xdr:row>
      <xdr:rowOff>15240</xdr:rowOff>
    </xdr:from>
    <xdr:to>
      <xdr:col>12</xdr:col>
      <xdr:colOff>733426</xdr:colOff>
      <xdr:row>5</xdr:row>
      <xdr:rowOff>19050</xdr:rowOff>
    </xdr:to>
    <xdr:pic>
      <xdr:nvPicPr>
        <xdr:cNvPr id="3" name="תמונה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5752524" y="196215"/>
          <a:ext cx="942975" cy="80391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1973580</xdr:colOff>
      <xdr:row>1</xdr:row>
      <xdr:rowOff>83821</xdr:rowOff>
    </xdr:from>
    <xdr:to>
      <xdr:col>3</xdr:col>
      <xdr:colOff>2636521</xdr:colOff>
      <xdr:row>5</xdr:row>
      <xdr:rowOff>45720</xdr:rowOff>
    </xdr:to>
    <xdr:pic>
      <xdr:nvPicPr>
        <xdr:cNvPr id="2" name="תמונה 2">
          <a:extLst>
            <a:ext uri="{FF2B5EF4-FFF2-40B4-BE49-F238E27FC236}">
              <a16:creationId xmlns:a16="http://schemas.microsoft.com/office/drawing/2014/main" id="{541E8D06-9A72-4D44-AB49-D73324FBBAD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10116939" y="259081"/>
          <a:ext cx="662941" cy="662939"/>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87085</xdr:colOff>
      <xdr:row>3</xdr:row>
      <xdr:rowOff>19593</xdr:rowOff>
    </xdr:from>
    <xdr:to>
      <xdr:col>3</xdr:col>
      <xdr:colOff>148317</xdr:colOff>
      <xdr:row>6</xdr:row>
      <xdr:rowOff>337455</xdr:rowOff>
    </xdr:to>
    <xdr:pic>
      <xdr:nvPicPr>
        <xdr:cNvPr id="2" name="תמונה 2">
          <a:extLst>
            <a:ext uri="{FF2B5EF4-FFF2-40B4-BE49-F238E27FC236}">
              <a16:creationId xmlns:a16="http://schemas.microsoft.com/office/drawing/2014/main" id="{2332B1FF-4404-4240-94FB-BD6A7F247A6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04531969" y="542107"/>
          <a:ext cx="834118" cy="840377"/>
        </a:xfrm>
        <a:prstGeom prst="rect">
          <a:avLst/>
        </a:prstGeom>
        <a:noFill/>
        <a:ln>
          <a:noFill/>
        </a:ln>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10"/>
  <sheetViews>
    <sheetView rightToLeft="1" zoomScale="140" zoomScaleNormal="140" workbookViewId="0">
      <selection activeCell="A18" sqref="A18"/>
    </sheetView>
  </sheetViews>
  <sheetFormatPr defaultColWidth="9" defaultRowHeight="15" x14ac:dyDescent="0.25"/>
  <cols>
    <col min="1" max="1" width="28.625" style="1" customWidth="1"/>
    <col min="2" max="2" width="7.125" style="1" customWidth="1"/>
    <col min="3" max="3" width="42.125" style="1" bestFit="1" customWidth="1"/>
    <col min="4" max="16384" width="9" style="1"/>
  </cols>
  <sheetData>
    <row r="1" spans="1:2" x14ac:dyDescent="0.25">
      <c r="A1" s="102" t="s">
        <v>0</v>
      </c>
    </row>
    <row r="2" spans="1:2" ht="18.75" x14ac:dyDescent="0.3">
      <c r="A2" s="2" t="s">
        <v>1</v>
      </c>
    </row>
    <row r="3" spans="1:2" x14ac:dyDescent="0.25">
      <c r="A3" s="1" t="s">
        <v>2</v>
      </c>
    </row>
    <row r="4" spans="1:2" x14ac:dyDescent="0.25">
      <c r="A4" s="1" t="s">
        <v>3</v>
      </c>
    </row>
    <row r="5" spans="1:2" x14ac:dyDescent="0.25">
      <c r="A5" s="1" t="s">
        <v>4</v>
      </c>
      <c r="B5" s="1" t="s">
        <v>5</v>
      </c>
    </row>
    <row r="6" spans="1:2" x14ac:dyDescent="0.25">
      <c r="B6" s="1" t="s">
        <v>6</v>
      </c>
    </row>
    <row r="7" spans="1:2" x14ac:dyDescent="0.25">
      <c r="A7" s="1" t="s">
        <v>7</v>
      </c>
    </row>
    <row r="8" spans="1:2" x14ac:dyDescent="0.25">
      <c r="B8" s="1" t="s">
        <v>8</v>
      </c>
    </row>
    <row r="9" spans="1:2" x14ac:dyDescent="0.25">
      <c r="B9" s="1" t="s">
        <v>9</v>
      </c>
    </row>
    <row r="10" spans="1:2" x14ac:dyDescent="0.25">
      <c r="B10" s="1" t="s">
        <v>10</v>
      </c>
    </row>
  </sheetData>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U61"/>
  <sheetViews>
    <sheetView rightToLeft="1"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8.875" defaultRowHeight="12.75" x14ac:dyDescent="0.2"/>
  <cols>
    <col min="1" max="1" width="19" style="275" customWidth="1"/>
    <col min="2" max="2" width="12.375" style="274" bestFit="1" customWidth="1"/>
    <col min="3" max="3" width="12.625" style="274" bestFit="1" customWidth="1"/>
    <col min="4" max="4" width="4.875" style="274" bestFit="1" customWidth="1"/>
    <col min="5" max="5" width="9.75" style="274" bestFit="1" customWidth="1"/>
    <col min="6" max="6" width="9.25" style="274" customWidth="1"/>
    <col min="7" max="7" width="9.75" style="274" bestFit="1" customWidth="1"/>
    <col min="8" max="8" width="4.875" style="274" bestFit="1" customWidth="1"/>
    <col min="9" max="9" width="9.75" style="274" bestFit="1" customWidth="1"/>
    <col min="10" max="10" width="11.25" style="274" customWidth="1"/>
    <col min="11" max="11" width="9.25" style="274" customWidth="1"/>
    <col min="12" max="12" width="4.875" style="274" bestFit="1" customWidth="1"/>
    <col min="13" max="13" width="10.125" style="274" bestFit="1" customWidth="1"/>
    <col min="14" max="14" width="8.625" style="274" customWidth="1"/>
    <col min="15" max="15" width="9.75" style="274" bestFit="1" customWidth="1"/>
    <col min="16" max="16" width="9.125" style="274" bestFit="1" customWidth="1"/>
    <col min="17" max="17" width="9.75" style="274" bestFit="1" customWidth="1"/>
    <col min="18" max="18" width="8.875" style="274"/>
    <col min="19" max="19" width="9.75" style="274" bestFit="1" customWidth="1"/>
    <col min="20" max="20" width="9.125" style="274" bestFit="1" customWidth="1"/>
    <col min="21" max="21" width="9.75" style="274" bestFit="1" customWidth="1"/>
    <col min="22" max="16384" width="8.875" style="274"/>
  </cols>
  <sheetData>
    <row r="1" spans="1:21" ht="13.5" thickBot="1" x14ac:dyDescent="0.25">
      <c r="A1" s="276" t="s">
        <v>11</v>
      </c>
      <c r="B1" s="277"/>
      <c r="C1" s="277"/>
      <c r="D1" s="277"/>
      <c r="E1" s="277"/>
      <c r="F1" s="277"/>
      <c r="G1" s="277"/>
      <c r="H1" s="277"/>
      <c r="I1" s="277"/>
      <c r="J1" s="277"/>
      <c r="K1" s="277"/>
      <c r="L1" s="277"/>
      <c r="M1" s="277"/>
    </row>
    <row r="2" spans="1:21" x14ac:dyDescent="0.2">
      <c r="A2" s="278" t="s">
        <v>12</v>
      </c>
      <c r="B2" s="279" t="s">
        <v>13</v>
      </c>
      <c r="C2" s="280"/>
      <c r="D2" s="280"/>
      <c r="E2" s="281"/>
      <c r="F2" s="279" t="s">
        <v>14</v>
      </c>
      <c r="G2" s="280"/>
      <c r="H2" s="280"/>
      <c r="I2" s="281"/>
      <c r="J2" s="279" t="s">
        <v>15</v>
      </c>
      <c r="K2" s="280"/>
      <c r="L2" s="280"/>
      <c r="M2" s="281"/>
      <c r="N2" s="279" t="s">
        <v>16</v>
      </c>
      <c r="O2" s="280"/>
      <c r="P2" s="280"/>
      <c r="Q2" s="281"/>
      <c r="R2" s="279" t="s">
        <v>17</v>
      </c>
      <c r="S2" s="280"/>
      <c r="T2" s="280"/>
      <c r="U2" s="281"/>
    </row>
    <row r="3" spans="1:21" x14ac:dyDescent="0.2">
      <c r="A3" s="282"/>
      <c r="B3" s="267" t="s">
        <v>18</v>
      </c>
      <c r="C3" s="267" t="s">
        <v>19</v>
      </c>
      <c r="D3" s="267" t="s">
        <v>20</v>
      </c>
      <c r="E3" s="267" t="s">
        <v>21</v>
      </c>
      <c r="F3" s="267" t="s">
        <v>18</v>
      </c>
      <c r="G3" s="267" t="s">
        <v>19</v>
      </c>
      <c r="H3" s="267" t="s">
        <v>20</v>
      </c>
      <c r="I3" s="267" t="s">
        <v>21</v>
      </c>
      <c r="J3" s="267" t="s">
        <v>18</v>
      </c>
      <c r="K3" s="267" t="s">
        <v>19</v>
      </c>
      <c r="L3" s="267" t="s">
        <v>20</v>
      </c>
      <c r="M3" s="267" t="s">
        <v>21</v>
      </c>
      <c r="N3" s="267" t="s">
        <v>18</v>
      </c>
      <c r="O3" s="267" t="s">
        <v>19</v>
      </c>
      <c r="P3" s="267" t="s">
        <v>20</v>
      </c>
      <c r="Q3" s="267" t="s">
        <v>21</v>
      </c>
      <c r="R3" s="267" t="s">
        <v>18</v>
      </c>
      <c r="S3" s="267" t="s">
        <v>19</v>
      </c>
      <c r="T3" s="267" t="s">
        <v>20</v>
      </c>
      <c r="U3" s="283" t="s">
        <v>21</v>
      </c>
    </row>
    <row r="4" spans="1:21" x14ac:dyDescent="0.2">
      <c r="A4" s="266" t="s">
        <v>22</v>
      </c>
      <c r="B4" s="267" t="s">
        <v>23</v>
      </c>
      <c r="C4" s="268">
        <v>6000</v>
      </c>
      <c r="D4" s="269">
        <v>1</v>
      </c>
      <c r="E4" s="268">
        <f>C4*D4</f>
        <v>6000</v>
      </c>
      <c r="F4" s="267" t="s">
        <v>23</v>
      </c>
      <c r="G4" s="268">
        <v>6000</v>
      </c>
      <c r="H4" s="269">
        <v>1</v>
      </c>
      <c r="I4" s="268">
        <f t="shared" ref="I4:I19" si="0">G4*H4</f>
        <v>6000</v>
      </c>
      <c r="J4" s="267" t="s">
        <v>23</v>
      </c>
      <c r="K4" s="268">
        <v>8000</v>
      </c>
      <c r="L4" s="269">
        <v>1</v>
      </c>
      <c r="M4" s="268">
        <f t="shared" ref="M4:M19" si="1">K4*L4</f>
        <v>8000</v>
      </c>
      <c r="N4" s="267" t="s">
        <v>23</v>
      </c>
      <c r="O4" s="268">
        <v>10000</v>
      </c>
      <c r="P4" s="269">
        <v>1</v>
      </c>
      <c r="Q4" s="268">
        <f>P4*O4</f>
        <v>10000</v>
      </c>
      <c r="R4" s="267" t="s">
        <v>23</v>
      </c>
      <c r="S4" s="268">
        <v>12000</v>
      </c>
      <c r="T4" s="269">
        <v>1</v>
      </c>
      <c r="U4" s="270">
        <f>T4*S4</f>
        <v>12000</v>
      </c>
    </row>
    <row r="5" spans="1:21" x14ac:dyDescent="0.2">
      <c r="A5" s="266" t="s">
        <v>420</v>
      </c>
      <c r="B5" s="267" t="s">
        <v>33</v>
      </c>
      <c r="C5" s="271">
        <v>1500</v>
      </c>
      <c r="D5" s="269">
        <v>1</v>
      </c>
      <c r="E5" s="268">
        <f t="shared" ref="E5:E19" si="2">C5*D5</f>
        <v>1500</v>
      </c>
      <c r="F5" s="267" t="s">
        <v>33</v>
      </c>
      <c r="G5" s="268">
        <v>2000</v>
      </c>
      <c r="H5" s="269">
        <v>1</v>
      </c>
      <c r="I5" s="268">
        <f t="shared" si="0"/>
        <v>2000</v>
      </c>
      <c r="J5" s="267" t="s">
        <v>33</v>
      </c>
      <c r="K5" s="268">
        <v>2000</v>
      </c>
      <c r="L5" s="269">
        <v>1</v>
      </c>
      <c r="M5" s="268">
        <f t="shared" si="1"/>
        <v>2000</v>
      </c>
      <c r="N5" s="267" t="s">
        <v>421</v>
      </c>
      <c r="O5" s="268">
        <v>3000</v>
      </c>
      <c r="P5" s="269">
        <v>2</v>
      </c>
      <c r="Q5" s="268">
        <f t="shared" ref="Q5:Q19" si="3">P5*O5</f>
        <v>6000</v>
      </c>
      <c r="R5" s="267" t="s">
        <v>421</v>
      </c>
      <c r="S5" s="268">
        <v>3000</v>
      </c>
      <c r="T5" s="269">
        <v>2</v>
      </c>
      <c r="U5" s="270">
        <f t="shared" ref="U5:U17" si="4">T5*S5</f>
        <v>6000</v>
      </c>
    </row>
    <row r="6" spans="1:21" x14ac:dyDescent="0.2">
      <c r="A6" s="266" t="s">
        <v>25</v>
      </c>
      <c r="B6" s="267" t="s">
        <v>23</v>
      </c>
      <c r="C6" s="268">
        <v>2000</v>
      </c>
      <c r="D6" s="269">
        <v>1</v>
      </c>
      <c r="E6" s="268">
        <f t="shared" si="2"/>
        <v>2000</v>
      </c>
      <c r="F6" s="267" t="s">
        <v>33</v>
      </c>
      <c r="G6" s="268">
        <v>2000</v>
      </c>
      <c r="H6" s="269">
        <v>1</v>
      </c>
      <c r="I6" s="268">
        <f t="shared" si="0"/>
        <v>2000</v>
      </c>
      <c r="J6" s="267" t="s">
        <v>33</v>
      </c>
      <c r="K6" s="268">
        <v>2000</v>
      </c>
      <c r="L6" s="269">
        <v>1</v>
      </c>
      <c r="M6" s="268">
        <f t="shared" si="1"/>
        <v>2000</v>
      </c>
      <c r="N6" s="267" t="s">
        <v>421</v>
      </c>
      <c r="O6" s="268">
        <v>4000</v>
      </c>
      <c r="P6" s="269">
        <v>1</v>
      </c>
      <c r="Q6" s="268">
        <f t="shared" si="3"/>
        <v>4000</v>
      </c>
      <c r="R6" s="267" t="s">
        <v>421</v>
      </c>
      <c r="S6" s="268">
        <v>4000</v>
      </c>
      <c r="T6" s="269">
        <v>1</v>
      </c>
      <c r="U6" s="270">
        <f t="shared" si="4"/>
        <v>4000</v>
      </c>
    </row>
    <row r="7" spans="1:21" ht="34.5" customHeight="1" x14ac:dyDescent="0.2">
      <c r="A7" s="266" t="s">
        <v>26</v>
      </c>
      <c r="B7" s="267" t="s">
        <v>33</v>
      </c>
      <c r="C7" s="268">
        <v>8000</v>
      </c>
      <c r="D7" s="269">
        <v>1</v>
      </c>
      <c r="E7" s="268">
        <f t="shared" si="2"/>
        <v>8000</v>
      </c>
      <c r="F7" s="267" t="s">
        <v>33</v>
      </c>
      <c r="G7" s="268">
        <v>8000</v>
      </c>
      <c r="H7" s="269">
        <v>1</v>
      </c>
      <c r="I7" s="268">
        <f t="shared" si="0"/>
        <v>8000</v>
      </c>
      <c r="J7" s="267" t="s">
        <v>33</v>
      </c>
      <c r="K7" s="268">
        <v>10000</v>
      </c>
      <c r="L7" s="269">
        <v>1</v>
      </c>
      <c r="M7" s="268">
        <f t="shared" si="1"/>
        <v>10000</v>
      </c>
      <c r="N7" s="267" t="s">
        <v>470</v>
      </c>
      <c r="O7" s="268">
        <v>12000</v>
      </c>
      <c r="P7" s="269">
        <v>1</v>
      </c>
      <c r="Q7" s="268">
        <f t="shared" si="3"/>
        <v>12000</v>
      </c>
      <c r="R7" s="267" t="s">
        <v>470</v>
      </c>
      <c r="S7" s="268">
        <v>12000</v>
      </c>
      <c r="T7" s="269">
        <v>1</v>
      </c>
      <c r="U7" s="270">
        <f t="shared" si="4"/>
        <v>12000</v>
      </c>
    </row>
    <row r="8" spans="1:21" x14ac:dyDescent="0.2">
      <c r="A8" s="266" t="s">
        <v>27</v>
      </c>
      <c r="B8" s="267" t="s">
        <v>23</v>
      </c>
      <c r="C8" s="268">
        <v>200</v>
      </c>
      <c r="D8" s="269">
        <v>1</v>
      </c>
      <c r="E8" s="268">
        <f t="shared" si="2"/>
        <v>200</v>
      </c>
      <c r="F8" s="267" t="s">
        <v>23</v>
      </c>
      <c r="G8" s="268">
        <v>200</v>
      </c>
      <c r="H8" s="269">
        <v>1</v>
      </c>
      <c r="I8" s="268">
        <f t="shared" si="0"/>
        <v>200</v>
      </c>
      <c r="J8" s="267" t="s">
        <v>23</v>
      </c>
      <c r="K8" s="268">
        <v>200</v>
      </c>
      <c r="L8" s="269">
        <v>2</v>
      </c>
      <c r="M8" s="268">
        <f t="shared" si="1"/>
        <v>400</v>
      </c>
      <c r="N8" s="267" t="s">
        <v>23</v>
      </c>
      <c r="O8" s="268">
        <v>200</v>
      </c>
      <c r="P8" s="269">
        <v>3</v>
      </c>
      <c r="Q8" s="268">
        <f t="shared" si="3"/>
        <v>600</v>
      </c>
      <c r="R8" s="267" t="s">
        <v>23</v>
      </c>
      <c r="S8" s="268">
        <v>200</v>
      </c>
      <c r="T8" s="269">
        <v>4</v>
      </c>
      <c r="U8" s="270">
        <f t="shared" si="4"/>
        <v>800</v>
      </c>
    </row>
    <row r="9" spans="1:21" x14ac:dyDescent="0.2">
      <c r="A9" s="284" t="s">
        <v>28</v>
      </c>
      <c r="B9" s="267" t="s">
        <v>23</v>
      </c>
      <c r="C9" s="268">
        <v>300</v>
      </c>
      <c r="D9" s="269">
        <v>1</v>
      </c>
      <c r="E9" s="268">
        <f t="shared" si="2"/>
        <v>300</v>
      </c>
      <c r="F9" s="267" t="s">
        <v>23</v>
      </c>
      <c r="G9" s="268">
        <v>300</v>
      </c>
      <c r="H9" s="269">
        <v>1</v>
      </c>
      <c r="I9" s="268">
        <f t="shared" si="0"/>
        <v>300</v>
      </c>
      <c r="J9" s="267" t="s">
        <v>23</v>
      </c>
      <c r="K9" s="268">
        <v>300</v>
      </c>
      <c r="L9" s="269">
        <v>1</v>
      </c>
      <c r="M9" s="268">
        <f t="shared" si="1"/>
        <v>300</v>
      </c>
      <c r="N9" s="267" t="s">
        <v>23</v>
      </c>
      <c r="O9" s="268">
        <v>300</v>
      </c>
      <c r="P9" s="269">
        <v>2</v>
      </c>
      <c r="Q9" s="268">
        <f t="shared" si="3"/>
        <v>600</v>
      </c>
      <c r="R9" s="267" t="s">
        <v>23</v>
      </c>
      <c r="S9" s="268">
        <v>300</v>
      </c>
      <c r="T9" s="269">
        <v>2</v>
      </c>
      <c r="U9" s="270">
        <f t="shared" si="4"/>
        <v>600</v>
      </c>
    </row>
    <row r="10" spans="1:21" ht="17.25" customHeight="1" x14ac:dyDescent="0.2">
      <c r="A10" s="266" t="s">
        <v>422</v>
      </c>
      <c r="B10" s="267" t="s">
        <v>23</v>
      </c>
      <c r="C10" s="268">
        <v>4000</v>
      </c>
      <c r="D10" s="269">
        <v>1</v>
      </c>
      <c r="E10" s="268">
        <f t="shared" si="2"/>
        <v>4000</v>
      </c>
      <c r="F10" s="267" t="s">
        <v>23</v>
      </c>
      <c r="G10" s="268">
        <v>4000</v>
      </c>
      <c r="H10" s="269">
        <v>1</v>
      </c>
      <c r="I10" s="268">
        <f t="shared" si="0"/>
        <v>4000</v>
      </c>
      <c r="J10" s="267" t="s">
        <v>23</v>
      </c>
      <c r="K10" s="268">
        <v>4000</v>
      </c>
      <c r="L10" s="269">
        <v>1</v>
      </c>
      <c r="M10" s="268">
        <f t="shared" si="1"/>
        <v>4000</v>
      </c>
      <c r="N10" s="267" t="s">
        <v>29</v>
      </c>
      <c r="O10" s="268">
        <v>15000</v>
      </c>
      <c r="P10" s="269">
        <v>1</v>
      </c>
      <c r="Q10" s="268">
        <f t="shared" si="3"/>
        <v>15000</v>
      </c>
      <c r="R10" s="267" t="s">
        <v>29</v>
      </c>
      <c r="S10" s="268">
        <v>15000</v>
      </c>
      <c r="T10" s="269">
        <v>1</v>
      </c>
      <c r="U10" s="270">
        <f t="shared" si="4"/>
        <v>15000</v>
      </c>
    </row>
    <row r="11" spans="1:21" ht="17.25" customHeight="1" x14ac:dyDescent="0.2">
      <c r="A11" s="266" t="s">
        <v>466</v>
      </c>
      <c r="B11" s="267" t="s">
        <v>23</v>
      </c>
      <c r="C11" s="268">
        <v>3000</v>
      </c>
      <c r="D11" s="269">
        <v>1</v>
      </c>
      <c r="E11" s="268">
        <f t="shared" ref="E11" si="5">C11*D11</f>
        <v>3000</v>
      </c>
      <c r="F11" s="267" t="s">
        <v>23</v>
      </c>
      <c r="G11" s="268">
        <v>3000</v>
      </c>
      <c r="H11" s="269">
        <v>1</v>
      </c>
      <c r="I11" s="268">
        <f t="shared" ref="I11" si="6">G11*H11</f>
        <v>3000</v>
      </c>
      <c r="J11" s="267" t="s">
        <v>23</v>
      </c>
      <c r="K11" s="268">
        <v>3000</v>
      </c>
      <c r="L11" s="269">
        <v>1</v>
      </c>
      <c r="M11" s="268">
        <f t="shared" ref="M11" si="7">K11*L11</f>
        <v>3000</v>
      </c>
      <c r="N11" s="267" t="s">
        <v>23</v>
      </c>
      <c r="O11" s="268">
        <v>3000</v>
      </c>
      <c r="P11" s="269">
        <v>1</v>
      </c>
      <c r="Q11" s="268">
        <f t="shared" ref="Q11" si="8">P11*O11</f>
        <v>3000</v>
      </c>
      <c r="R11" s="267" t="s">
        <v>23</v>
      </c>
      <c r="S11" s="268">
        <v>3000</v>
      </c>
      <c r="T11" s="269">
        <v>1</v>
      </c>
      <c r="U11" s="270">
        <f t="shared" ref="U11" si="9">T11*S11</f>
        <v>3000</v>
      </c>
    </row>
    <row r="12" spans="1:21" x14ac:dyDescent="0.2">
      <c r="A12" s="266" t="s">
        <v>423</v>
      </c>
      <c r="B12" s="267" t="s">
        <v>23</v>
      </c>
      <c r="C12" s="268">
        <v>6000</v>
      </c>
      <c r="D12" s="269">
        <v>1</v>
      </c>
      <c r="E12" s="268">
        <f t="shared" si="2"/>
        <v>6000</v>
      </c>
      <c r="F12" s="267" t="s">
        <v>23</v>
      </c>
      <c r="G12" s="268">
        <v>6000</v>
      </c>
      <c r="H12" s="269">
        <v>1</v>
      </c>
      <c r="I12" s="268">
        <f t="shared" si="0"/>
        <v>6000</v>
      </c>
      <c r="J12" s="267" t="s">
        <v>23</v>
      </c>
      <c r="K12" s="268">
        <v>6000</v>
      </c>
      <c r="L12" s="269">
        <v>1</v>
      </c>
      <c r="M12" s="268">
        <f t="shared" si="1"/>
        <v>6000</v>
      </c>
      <c r="N12" s="267" t="s">
        <v>23</v>
      </c>
      <c r="O12" s="268">
        <v>8000</v>
      </c>
      <c r="P12" s="269">
        <v>1</v>
      </c>
      <c r="Q12" s="268">
        <f>P12*O12</f>
        <v>8000</v>
      </c>
      <c r="R12" s="267" t="s">
        <v>23</v>
      </c>
      <c r="S12" s="268">
        <v>8000</v>
      </c>
      <c r="T12" s="269">
        <v>1</v>
      </c>
      <c r="U12" s="270">
        <f t="shared" si="4"/>
        <v>8000</v>
      </c>
    </row>
    <row r="13" spans="1:21" x14ac:dyDescent="0.2">
      <c r="A13" s="266" t="s">
        <v>30</v>
      </c>
      <c r="B13" s="267" t="s">
        <v>459</v>
      </c>
      <c r="C13" s="268">
        <v>500</v>
      </c>
      <c r="D13" s="269">
        <v>1</v>
      </c>
      <c r="E13" s="268">
        <f t="shared" si="2"/>
        <v>500</v>
      </c>
      <c r="F13" s="267" t="s">
        <v>459</v>
      </c>
      <c r="G13" s="268">
        <v>500</v>
      </c>
      <c r="H13" s="269">
        <v>1</v>
      </c>
      <c r="I13" s="268">
        <f t="shared" si="0"/>
        <v>500</v>
      </c>
      <c r="J13" s="267" t="s">
        <v>459</v>
      </c>
      <c r="K13" s="268">
        <v>500</v>
      </c>
      <c r="L13" s="269">
        <v>1</v>
      </c>
      <c r="M13" s="268">
        <f t="shared" si="1"/>
        <v>500</v>
      </c>
      <c r="N13" s="267" t="s">
        <v>459</v>
      </c>
      <c r="O13" s="268">
        <v>500</v>
      </c>
      <c r="P13" s="269">
        <v>1</v>
      </c>
      <c r="Q13" s="268">
        <f t="shared" si="3"/>
        <v>500</v>
      </c>
      <c r="R13" s="267" t="s">
        <v>459</v>
      </c>
      <c r="S13" s="268">
        <v>500</v>
      </c>
      <c r="T13" s="269">
        <v>1</v>
      </c>
      <c r="U13" s="270">
        <f t="shared" si="4"/>
        <v>500</v>
      </c>
    </row>
    <row r="14" spans="1:21" x14ac:dyDescent="0.2">
      <c r="A14" s="284" t="s">
        <v>416</v>
      </c>
      <c r="B14" s="267" t="s">
        <v>23</v>
      </c>
      <c r="C14" s="268">
        <v>4000</v>
      </c>
      <c r="D14" s="269">
        <v>1</v>
      </c>
      <c r="E14" s="268">
        <f t="shared" si="2"/>
        <v>4000</v>
      </c>
      <c r="F14" s="267" t="s">
        <v>23</v>
      </c>
      <c r="G14" s="268">
        <v>4000</v>
      </c>
      <c r="H14" s="269">
        <v>1</v>
      </c>
      <c r="I14" s="268">
        <f t="shared" ref="I14" si="10">G14*H14</f>
        <v>4000</v>
      </c>
      <c r="J14" s="267" t="s">
        <v>23</v>
      </c>
      <c r="K14" s="268">
        <v>4000</v>
      </c>
      <c r="L14" s="269">
        <v>1</v>
      </c>
      <c r="M14" s="268">
        <f t="shared" si="1"/>
        <v>4000</v>
      </c>
      <c r="N14" s="267" t="s">
        <v>23</v>
      </c>
      <c r="O14" s="268">
        <v>4000</v>
      </c>
      <c r="P14" s="269">
        <v>1</v>
      </c>
      <c r="Q14" s="268">
        <f t="shared" si="3"/>
        <v>4000</v>
      </c>
      <c r="R14" s="267" t="s">
        <v>23</v>
      </c>
      <c r="S14" s="268">
        <v>4000</v>
      </c>
      <c r="T14" s="269">
        <v>1</v>
      </c>
      <c r="U14" s="270">
        <f t="shared" si="4"/>
        <v>4000</v>
      </c>
    </row>
    <row r="15" spans="1:21" x14ac:dyDescent="0.2">
      <c r="A15" s="266" t="s">
        <v>31</v>
      </c>
      <c r="B15" s="267" t="s">
        <v>23</v>
      </c>
      <c r="C15" s="268">
        <v>10000</v>
      </c>
      <c r="D15" s="269">
        <v>1</v>
      </c>
      <c r="E15" s="268">
        <f t="shared" si="2"/>
        <v>10000</v>
      </c>
      <c r="F15" s="267" t="s">
        <v>23</v>
      </c>
      <c r="G15" s="268">
        <v>10000</v>
      </c>
      <c r="H15" s="269">
        <v>1</v>
      </c>
      <c r="I15" s="268">
        <f t="shared" si="0"/>
        <v>10000</v>
      </c>
      <c r="J15" s="267" t="s">
        <v>23</v>
      </c>
      <c r="K15" s="268">
        <v>10000</v>
      </c>
      <c r="L15" s="269">
        <v>2</v>
      </c>
      <c r="M15" s="268">
        <f t="shared" si="1"/>
        <v>20000</v>
      </c>
      <c r="N15" s="267" t="s">
        <v>23</v>
      </c>
      <c r="O15" s="268">
        <v>10000</v>
      </c>
      <c r="P15" s="269">
        <v>3</v>
      </c>
      <c r="Q15" s="268">
        <f t="shared" si="3"/>
        <v>30000</v>
      </c>
      <c r="R15" s="267" t="s">
        <v>23</v>
      </c>
      <c r="S15" s="268">
        <v>10000</v>
      </c>
      <c r="T15" s="269">
        <v>4</v>
      </c>
      <c r="U15" s="270">
        <f t="shared" si="4"/>
        <v>40000</v>
      </c>
    </row>
    <row r="16" spans="1:21" x14ac:dyDescent="0.2">
      <c r="A16" s="266" t="s">
        <v>32</v>
      </c>
      <c r="B16" s="267" t="s">
        <v>33</v>
      </c>
      <c r="C16" s="268">
        <v>4000</v>
      </c>
      <c r="D16" s="269">
        <v>1</v>
      </c>
      <c r="E16" s="268">
        <f t="shared" si="2"/>
        <v>4000</v>
      </c>
      <c r="F16" s="267" t="s">
        <v>33</v>
      </c>
      <c r="G16" s="268">
        <v>4000</v>
      </c>
      <c r="H16" s="269">
        <v>1</v>
      </c>
      <c r="I16" s="268">
        <f t="shared" si="0"/>
        <v>4000</v>
      </c>
      <c r="J16" s="267" t="s">
        <v>33</v>
      </c>
      <c r="K16" s="268">
        <v>4000</v>
      </c>
      <c r="L16" s="269">
        <v>1</v>
      </c>
      <c r="M16" s="268">
        <f t="shared" si="1"/>
        <v>4000</v>
      </c>
      <c r="N16" s="267" t="s">
        <v>34</v>
      </c>
      <c r="O16" s="268">
        <v>15000</v>
      </c>
      <c r="P16" s="269">
        <v>1</v>
      </c>
      <c r="Q16" s="268">
        <f t="shared" si="3"/>
        <v>15000</v>
      </c>
      <c r="R16" s="267" t="s">
        <v>34</v>
      </c>
      <c r="S16" s="268">
        <v>15000</v>
      </c>
      <c r="T16" s="269">
        <v>1</v>
      </c>
      <c r="U16" s="270">
        <f t="shared" si="4"/>
        <v>15000</v>
      </c>
    </row>
    <row r="17" spans="1:21" x14ac:dyDescent="0.2">
      <c r="A17" s="266" t="s">
        <v>424</v>
      </c>
      <c r="B17" s="267" t="s">
        <v>23</v>
      </c>
      <c r="C17" s="268">
        <v>1500</v>
      </c>
      <c r="D17" s="269">
        <v>1</v>
      </c>
      <c r="E17" s="268">
        <f t="shared" si="2"/>
        <v>1500</v>
      </c>
      <c r="F17" s="267" t="s">
        <v>23</v>
      </c>
      <c r="G17" s="268">
        <v>1500</v>
      </c>
      <c r="H17" s="269">
        <v>1</v>
      </c>
      <c r="I17" s="268">
        <f t="shared" si="0"/>
        <v>1500</v>
      </c>
      <c r="J17" s="267" t="s">
        <v>23</v>
      </c>
      <c r="K17" s="268">
        <v>1500</v>
      </c>
      <c r="L17" s="269">
        <v>1</v>
      </c>
      <c r="M17" s="268">
        <f t="shared" si="1"/>
        <v>1500</v>
      </c>
      <c r="N17" s="267" t="s">
        <v>23</v>
      </c>
      <c r="O17" s="268">
        <v>1500</v>
      </c>
      <c r="P17" s="269">
        <v>1</v>
      </c>
      <c r="Q17" s="268">
        <f t="shared" si="3"/>
        <v>1500</v>
      </c>
      <c r="R17" s="267" t="s">
        <v>23</v>
      </c>
      <c r="S17" s="268">
        <v>1500</v>
      </c>
      <c r="T17" s="269">
        <v>1</v>
      </c>
      <c r="U17" s="270">
        <f t="shared" si="4"/>
        <v>1500</v>
      </c>
    </row>
    <row r="18" spans="1:21" ht="51" x14ac:dyDescent="0.2">
      <c r="A18" s="266" t="s">
        <v>251</v>
      </c>
      <c r="B18" s="267" t="s">
        <v>35</v>
      </c>
      <c r="C18" s="268">
        <v>1500</v>
      </c>
      <c r="D18" s="269">
        <v>1</v>
      </c>
      <c r="E18" s="268">
        <f t="shared" ref="E18" si="11">C18*D18</f>
        <v>1500</v>
      </c>
      <c r="F18" s="267" t="s">
        <v>35</v>
      </c>
      <c r="G18" s="268">
        <v>1500</v>
      </c>
      <c r="H18" s="269">
        <v>1</v>
      </c>
      <c r="I18" s="268">
        <f t="shared" ref="I18" si="12">G18*H18</f>
        <v>1500</v>
      </c>
      <c r="J18" s="267" t="s">
        <v>35</v>
      </c>
      <c r="K18" s="268">
        <v>1500</v>
      </c>
      <c r="L18" s="269">
        <v>1</v>
      </c>
      <c r="M18" s="268">
        <f t="shared" ref="M18" si="13">K18*L18</f>
        <v>1500</v>
      </c>
      <c r="N18" s="267" t="s">
        <v>35</v>
      </c>
      <c r="O18" s="268">
        <v>2500</v>
      </c>
      <c r="P18" s="269">
        <v>1</v>
      </c>
      <c r="Q18" s="268">
        <f t="shared" ref="Q18" si="14">P18*O18</f>
        <v>2500</v>
      </c>
      <c r="R18" s="267" t="s">
        <v>35</v>
      </c>
      <c r="S18" s="268">
        <v>2500</v>
      </c>
      <c r="T18" s="269">
        <v>1</v>
      </c>
      <c r="U18" s="270">
        <f t="shared" ref="U18" si="15">T18*S18</f>
        <v>2500</v>
      </c>
    </row>
    <row r="19" spans="1:21" ht="25.5" x14ac:dyDescent="0.2">
      <c r="A19" s="266" t="s">
        <v>36</v>
      </c>
      <c r="B19" s="267" t="s">
        <v>23</v>
      </c>
      <c r="C19" s="268"/>
      <c r="D19" s="269"/>
      <c r="E19" s="268">
        <f t="shared" si="2"/>
        <v>0</v>
      </c>
      <c r="F19" s="267" t="s">
        <v>23</v>
      </c>
      <c r="G19" s="268"/>
      <c r="H19" s="269"/>
      <c r="I19" s="268">
        <f t="shared" si="0"/>
        <v>0</v>
      </c>
      <c r="J19" s="267" t="s">
        <v>23</v>
      </c>
      <c r="K19" s="268"/>
      <c r="L19" s="269"/>
      <c r="M19" s="268">
        <f t="shared" si="1"/>
        <v>0</v>
      </c>
      <c r="N19" s="267" t="s">
        <v>37</v>
      </c>
      <c r="O19" s="268">
        <v>12000</v>
      </c>
      <c r="P19" s="269">
        <v>1</v>
      </c>
      <c r="Q19" s="268">
        <f t="shared" si="3"/>
        <v>12000</v>
      </c>
      <c r="R19" s="267" t="s">
        <v>37</v>
      </c>
      <c r="S19" s="268">
        <v>12000</v>
      </c>
      <c r="T19" s="269">
        <v>1</v>
      </c>
      <c r="U19" s="270">
        <f>T19*S19</f>
        <v>12000</v>
      </c>
    </row>
    <row r="20" spans="1:21" x14ac:dyDescent="0.2">
      <c r="A20" s="266" t="s">
        <v>38</v>
      </c>
      <c r="B20" s="284"/>
      <c r="C20" s="268">
        <f>SUM(C4:C19)</f>
        <v>52500</v>
      </c>
      <c r="D20" s="269"/>
      <c r="E20" s="268">
        <f>SUM(E4:E19)</f>
        <v>52500</v>
      </c>
      <c r="F20" s="284"/>
      <c r="G20" s="268">
        <f>SUM(G4:G19)</f>
        <v>53000</v>
      </c>
      <c r="H20" s="269"/>
      <c r="I20" s="268">
        <f>SUM(I4:I19)</f>
        <v>53000</v>
      </c>
      <c r="J20" s="284"/>
      <c r="K20" s="268">
        <f>SUM(K4:K19)</f>
        <v>57000</v>
      </c>
      <c r="L20" s="269"/>
      <c r="M20" s="268">
        <f>SUM(M4:M19)</f>
        <v>67200</v>
      </c>
      <c r="N20" s="284"/>
      <c r="O20" s="268">
        <f>SUM(O4:O19)</f>
        <v>101000</v>
      </c>
      <c r="P20" s="269"/>
      <c r="Q20" s="268">
        <f>SUM(Q4:Q19)</f>
        <v>124700</v>
      </c>
      <c r="R20" s="284"/>
      <c r="S20" s="268">
        <f>SUM(S4:S19)</f>
        <v>103000</v>
      </c>
      <c r="T20" s="269"/>
      <c r="U20" s="268">
        <f>SUM(U4:U19)</f>
        <v>136900</v>
      </c>
    </row>
    <row r="21" spans="1:21" x14ac:dyDescent="0.2">
      <c r="A21" s="285"/>
      <c r="B21" s="286"/>
      <c r="C21" s="286"/>
      <c r="D21" s="287"/>
      <c r="E21" s="286"/>
      <c r="F21" s="286"/>
      <c r="G21" s="286"/>
      <c r="H21" s="287"/>
      <c r="I21" s="286"/>
      <c r="J21" s="286"/>
      <c r="K21" s="286"/>
      <c r="L21" s="287"/>
      <c r="M21" s="286"/>
      <c r="N21" s="286"/>
      <c r="O21" s="286"/>
      <c r="P21" s="287"/>
      <c r="Q21" s="286"/>
      <c r="R21" s="286"/>
      <c r="S21" s="286"/>
      <c r="T21" s="287"/>
      <c r="U21" s="288"/>
    </row>
    <row r="22" spans="1:21" ht="25.5" x14ac:dyDescent="0.2">
      <c r="A22" s="266" t="s">
        <v>39</v>
      </c>
      <c r="B22" s="267" t="s">
        <v>482</v>
      </c>
      <c r="C22" s="268">
        <v>1500</v>
      </c>
      <c r="D22" s="269">
        <v>1</v>
      </c>
      <c r="E22" s="268">
        <f t="shared" ref="E22:E36" si="16">C22*D22</f>
        <v>1500</v>
      </c>
      <c r="F22" s="267" t="s">
        <v>482</v>
      </c>
      <c r="G22" s="268">
        <v>1500</v>
      </c>
      <c r="H22" s="269">
        <v>2</v>
      </c>
      <c r="I22" s="268">
        <f t="shared" ref="I22:I36" si="17">G22*H22</f>
        <v>3000</v>
      </c>
      <c r="J22" s="267" t="s">
        <v>482</v>
      </c>
      <c r="K22" s="268">
        <v>1500</v>
      </c>
      <c r="L22" s="269">
        <v>2</v>
      </c>
      <c r="M22" s="268">
        <f t="shared" ref="M22:M36" si="18">K22*L22</f>
        <v>3000</v>
      </c>
      <c r="N22" s="267" t="s">
        <v>482</v>
      </c>
      <c r="O22" s="268">
        <v>1500</v>
      </c>
      <c r="P22" s="269">
        <v>2</v>
      </c>
      <c r="Q22" s="268">
        <f t="shared" ref="Q22:Q36" si="19">P22*O22</f>
        <v>3000</v>
      </c>
      <c r="R22" s="267" t="s">
        <v>482</v>
      </c>
      <c r="S22" s="268">
        <v>1500</v>
      </c>
      <c r="T22" s="269">
        <v>4</v>
      </c>
      <c r="U22" s="270">
        <f t="shared" ref="U22:U36" si="20">T22*S22</f>
        <v>6000</v>
      </c>
    </row>
    <row r="23" spans="1:21" ht="25.5" x14ac:dyDescent="0.2">
      <c r="A23" s="266" t="s">
        <v>419</v>
      </c>
      <c r="B23" s="267" t="s">
        <v>40</v>
      </c>
      <c r="C23" s="268">
        <v>6000</v>
      </c>
      <c r="D23" s="269">
        <v>1</v>
      </c>
      <c r="E23" s="268">
        <f t="shared" si="16"/>
        <v>6000</v>
      </c>
      <c r="F23" s="267" t="s">
        <v>40</v>
      </c>
      <c r="G23" s="268">
        <v>6000</v>
      </c>
      <c r="H23" s="269">
        <v>1</v>
      </c>
      <c r="I23" s="268">
        <f t="shared" si="17"/>
        <v>6000</v>
      </c>
      <c r="J23" s="267" t="s">
        <v>40</v>
      </c>
      <c r="K23" s="268">
        <v>6000</v>
      </c>
      <c r="L23" s="269">
        <v>1</v>
      </c>
      <c r="M23" s="268">
        <f t="shared" si="18"/>
        <v>6000</v>
      </c>
      <c r="N23" s="267" t="s">
        <v>40</v>
      </c>
      <c r="O23" s="268">
        <v>6000</v>
      </c>
      <c r="P23" s="269">
        <v>1</v>
      </c>
      <c r="Q23" s="268">
        <f t="shared" si="19"/>
        <v>6000</v>
      </c>
      <c r="R23" s="267" t="s">
        <v>40</v>
      </c>
      <c r="S23" s="268">
        <v>6000</v>
      </c>
      <c r="T23" s="269">
        <v>1</v>
      </c>
      <c r="U23" s="270">
        <f t="shared" si="20"/>
        <v>6000</v>
      </c>
    </row>
    <row r="24" spans="1:21" x14ac:dyDescent="0.2">
      <c r="A24" s="266" t="s">
        <v>41</v>
      </c>
      <c r="B24" s="267" t="s">
        <v>23</v>
      </c>
      <c r="C24" s="268">
        <v>1500</v>
      </c>
      <c r="D24" s="269">
        <v>1</v>
      </c>
      <c r="E24" s="268">
        <f t="shared" si="16"/>
        <v>1500</v>
      </c>
      <c r="F24" s="267" t="s">
        <v>23</v>
      </c>
      <c r="G24" s="268">
        <v>1500</v>
      </c>
      <c r="H24" s="269">
        <v>1</v>
      </c>
      <c r="I24" s="268">
        <f t="shared" si="17"/>
        <v>1500</v>
      </c>
      <c r="J24" s="267" t="s">
        <v>23</v>
      </c>
      <c r="K24" s="268">
        <v>1500</v>
      </c>
      <c r="L24" s="269">
        <v>1</v>
      </c>
      <c r="M24" s="268">
        <f>K24*L24</f>
        <v>1500</v>
      </c>
      <c r="N24" s="267" t="s">
        <v>23</v>
      </c>
      <c r="O24" s="268">
        <v>1500</v>
      </c>
      <c r="P24" s="269">
        <v>1</v>
      </c>
      <c r="Q24" s="268">
        <f t="shared" si="19"/>
        <v>1500</v>
      </c>
      <c r="R24" s="267" t="s">
        <v>23</v>
      </c>
      <c r="S24" s="268">
        <v>1500</v>
      </c>
      <c r="T24" s="269">
        <v>1</v>
      </c>
      <c r="U24" s="270">
        <f t="shared" si="20"/>
        <v>1500</v>
      </c>
    </row>
    <row r="25" spans="1:21" ht="35.25" customHeight="1" x14ac:dyDescent="0.2">
      <c r="A25" s="266" t="s">
        <v>436</v>
      </c>
      <c r="B25" s="267" t="s">
        <v>42</v>
      </c>
      <c r="C25" s="268">
        <v>3000</v>
      </c>
      <c r="D25" s="269">
        <v>3</v>
      </c>
      <c r="E25" s="268">
        <f t="shared" si="16"/>
        <v>9000</v>
      </c>
      <c r="F25" s="267" t="s">
        <v>42</v>
      </c>
      <c r="G25" s="268">
        <v>3000</v>
      </c>
      <c r="H25" s="269">
        <v>3</v>
      </c>
      <c r="I25" s="268">
        <f t="shared" si="17"/>
        <v>9000</v>
      </c>
      <c r="J25" s="267" t="s">
        <v>42</v>
      </c>
      <c r="K25" s="268">
        <v>3000</v>
      </c>
      <c r="L25" s="269">
        <v>4</v>
      </c>
      <c r="M25" s="268">
        <f t="shared" si="18"/>
        <v>12000</v>
      </c>
      <c r="N25" s="267" t="s">
        <v>42</v>
      </c>
      <c r="O25" s="268">
        <v>3000</v>
      </c>
      <c r="P25" s="269">
        <v>6</v>
      </c>
      <c r="Q25" s="268">
        <f t="shared" ref="Q25:Q28" si="21">O25*P25</f>
        <v>18000</v>
      </c>
      <c r="R25" s="267" t="s">
        <v>42</v>
      </c>
      <c r="S25" s="268">
        <v>3000</v>
      </c>
      <c r="T25" s="269">
        <v>6</v>
      </c>
      <c r="U25" s="268">
        <f t="shared" ref="U25:U28" si="22">S25*T25</f>
        <v>18000</v>
      </c>
    </row>
    <row r="26" spans="1:21" ht="25.5" x14ac:dyDescent="0.2">
      <c r="A26" s="266" t="s">
        <v>43</v>
      </c>
      <c r="B26" s="267" t="s">
        <v>44</v>
      </c>
      <c r="C26" s="268">
        <v>2500</v>
      </c>
      <c r="D26" s="269">
        <v>1</v>
      </c>
      <c r="E26" s="268">
        <f t="shared" si="16"/>
        <v>2500</v>
      </c>
      <c r="F26" s="267" t="s">
        <v>44</v>
      </c>
      <c r="G26" s="268">
        <v>2500</v>
      </c>
      <c r="H26" s="269">
        <v>1</v>
      </c>
      <c r="I26" s="268">
        <f t="shared" si="17"/>
        <v>2500</v>
      </c>
      <c r="J26" s="267" t="s">
        <v>44</v>
      </c>
      <c r="K26" s="268">
        <v>2500</v>
      </c>
      <c r="L26" s="269">
        <v>1</v>
      </c>
      <c r="M26" s="268">
        <f t="shared" si="18"/>
        <v>2500</v>
      </c>
      <c r="N26" s="267" t="s">
        <v>44</v>
      </c>
      <c r="O26" s="268">
        <v>2500</v>
      </c>
      <c r="P26" s="269">
        <v>1</v>
      </c>
      <c r="Q26" s="268">
        <f t="shared" si="21"/>
        <v>2500</v>
      </c>
      <c r="R26" s="267" t="s">
        <v>44</v>
      </c>
      <c r="S26" s="268">
        <v>2500</v>
      </c>
      <c r="T26" s="269">
        <v>1</v>
      </c>
      <c r="U26" s="268">
        <f t="shared" si="22"/>
        <v>2500</v>
      </c>
    </row>
    <row r="27" spans="1:21" x14ac:dyDescent="0.2">
      <c r="A27" s="266" t="s">
        <v>45</v>
      </c>
      <c r="B27" s="267" t="s">
        <v>23</v>
      </c>
      <c r="C27" s="268">
        <v>500</v>
      </c>
      <c r="D27" s="269">
        <v>1</v>
      </c>
      <c r="E27" s="268">
        <f t="shared" si="16"/>
        <v>500</v>
      </c>
      <c r="F27" s="267" t="s">
        <v>23</v>
      </c>
      <c r="G27" s="268">
        <v>500</v>
      </c>
      <c r="H27" s="269">
        <v>1</v>
      </c>
      <c r="I27" s="268">
        <f t="shared" si="17"/>
        <v>500</v>
      </c>
      <c r="J27" s="267" t="s">
        <v>23</v>
      </c>
      <c r="K27" s="268">
        <v>500</v>
      </c>
      <c r="L27" s="269">
        <v>1</v>
      </c>
      <c r="M27" s="268">
        <f t="shared" si="18"/>
        <v>500</v>
      </c>
      <c r="N27" s="267" t="s">
        <v>23</v>
      </c>
      <c r="O27" s="268">
        <v>500</v>
      </c>
      <c r="P27" s="269">
        <v>1</v>
      </c>
      <c r="Q27" s="268">
        <f t="shared" si="21"/>
        <v>500</v>
      </c>
      <c r="R27" s="267" t="s">
        <v>23</v>
      </c>
      <c r="S27" s="268">
        <v>500</v>
      </c>
      <c r="T27" s="269">
        <v>1</v>
      </c>
      <c r="U27" s="268">
        <f t="shared" si="22"/>
        <v>500</v>
      </c>
    </row>
    <row r="28" spans="1:21" ht="25.5" x14ac:dyDescent="0.2">
      <c r="A28" s="266" t="s">
        <v>321</v>
      </c>
      <c r="B28" s="267" t="s">
        <v>46</v>
      </c>
      <c r="C28" s="268">
        <v>400</v>
      </c>
      <c r="D28" s="269">
        <v>3</v>
      </c>
      <c r="E28" s="268">
        <f t="shared" si="16"/>
        <v>1200</v>
      </c>
      <c r="F28" s="267" t="s">
        <v>46</v>
      </c>
      <c r="G28" s="268">
        <v>400</v>
      </c>
      <c r="H28" s="269">
        <v>3</v>
      </c>
      <c r="I28" s="268">
        <f t="shared" si="17"/>
        <v>1200</v>
      </c>
      <c r="J28" s="267" t="s">
        <v>46</v>
      </c>
      <c r="K28" s="268">
        <v>400</v>
      </c>
      <c r="L28" s="269">
        <v>4</v>
      </c>
      <c r="M28" s="268">
        <f t="shared" si="18"/>
        <v>1600</v>
      </c>
      <c r="N28" s="267" t="s">
        <v>46</v>
      </c>
      <c r="O28" s="268">
        <v>400</v>
      </c>
      <c r="P28" s="269">
        <v>6</v>
      </c>
      <c r="Q28" s="268">
        <f t="shared" si="21"/>
        <v>2400</v>
      </c>
      <c r="R28" s="267" t="s">
        <v>46</v>
      </c>
      <c r="S28" s="268">
        <v>400</v>
      </c>
      <c r="T28" s="269">
        <v>6</v>
      </c>
      <c r="U28" s="268">
        <f t="shared" si="22"/>
        <v>2400</v>
      </c>
    </row>
    <row r="29" spans="1:21" x14ac:dyDescent="0.2">
      <c r="A29" s="266" t="s">
        <v>427</v>
      </c>
      <c r="B29" s="267" t="s">
        <v>47</v>
      </c>
      <c r="C29" s="268">
        <v>7000</v>
      </c>
      <c r="D29" s="269">
        <v>1</v>
      </c>
      <c r="E29" s="268">
        <f t="shared" si="16"/>
        <v>7000</v>
      </c>
      <c r="F29" s="267" t="s">
        <v>47</v>
      </c>
      <c r="G29" s="268">
        <v>7000</v>
      </c>
      <c r="H29" s="269">
        <v>1</v>
      </c>
      <c r="I29" s="268">
        <f t="shared" si="17"/>
        <v>7000</v>
      </c>
      <c r="J29" s="267" t="s">
        <v>47</v>
      </c>
      <c r="K29" s="268">
        <v>7000</v>
      </c>
      <c r="L29" s="269">
        <v>1</v>
      </c>
      <c r="M29" s="268">
        <f t="shared" si="18"/>
        <v>7000</v>
      </c>
      <c r="N29" s="267" t="s">
        <v>48</v>
      </c>
      <c r="O29" s="268">
        <v>9000</v>
      </c>
      <c r="P29" s="269">
        <v>1</v>
      </c>
      <c r="Q29" s="268">
        <f t="shared" si="19"/>
        <v>9000</v>
      </c>
      <c r="R29" s="267" t="s">
        <v>48</v>
      </c>
      <c r="S29" s="268">
        <v>9000</v>
      </c>
      <c r="T29" s="269">
        <v>1</v>
      </c>
      <c r="U29" s="270">
        <f t="shared" si="20"/>
        <v>9000</v>
      </c>
    </row>
    <row r="30" spans="1:21" ht="25.5" x14ac:dyDescent="0.2">
      <c r="A30" s="266" t="s">
        <v>49</v>
      </c>
      <c r="B30" s="267" t="s">
        <v>50</v>
      </c>
      <c r="C30" s="268">
        <v>5000</v>
      </c>
      <c r="D30" s="269">
        <v>1</v>
      </c>
      <c r="E30" s="268">
        <f t="shared" si="16"/>
        <v>5000</v>
      </c>
      <c r="F30" s="267" t="s">
        <v>50</v>
      </c>
      <c r="G30" s="268">
        <v>5000</v>
      </c>
      <c r="H30" s="269">
        <v>1</v>
      </c>
      <c r="I30" s="268">
        <f t="shared" si="17"/>
        <v>5000</v>
      </c>
      <c r="J30" s="267" t="s">
        <v>50</v>
      </c>
      <c r="K30" s="268">
        <v>5000</v>
      </c>
      <c r="L30" s="269">
        <v>1</v>
      </c>
      <c r="M30" s="268">
        <f t="shared" si="18"/>
        <v>5000</v>
      </c>
      <c r="N30" s="267" t="s">
        <v>50</v>
      </c>
      <c r="O30" s="268">
        <v>5000</v>
      </c>
      <c r="P30" s="269">
        <v>1</v>
      </c>
      <c r="Q30" s="268">
        <f t="shared" si="19"/>
        <v>5000</v>
      </c>
      <c r="R30" s="267" t="s">
        <v>50</v>
      </c>
      <c r="S30" s="268">
        <v>5000</v>
      </c>
      <c r="T30" s="269">
        <v>1</v>
      </c>
      <c r="U30" s="270">
        <f t="shared" si="20"/>
        <v>5000</v>
      </c>
    </row>
    <row r="31" spans="1:21" x14ac:dyDescent="0.2">
      <c r="A31" s="266" t="s">
        <v>51</v>
      </c>
      <c r="B31" s="267" t="s">
        <v>480</v>
      </c>
      <c r="C31" s="268">
        <v>1000</v>
      </c>
      <c r="D31" s="269">
        <v>1</v>
      </c>
      <c r="E31" s="268">
        <f t="shared" si="16"/>
        <v>1000</v>
      </c>
      <c r="F31" s="267" t="s">
        <v>480</v>
      </c>
      <c r="G31" s="268">
        <v>1000</v>
      </c>
      <c r="H31" s="269">
        <v>1</v>
      </c>
      <c r="I31" s="268">
        <f t="shared" si="17"/>
        <v>1000</v>
      </c>
      <c r="J31" s="267" t="s">
        <v>480</v>
      </c>
      <c r="K31" s="268">
        <v>1000</v>
      </c>
      <c r="L31" s="269">
        <v>1</v>
      </c>
      <c r="M31" s="268">
        <f t="shared" si="18"/>
        <v>1000</v>
      </c>
      <c r="N31" s="267" t="s">
        <v>480</v>
      </c>
      <c r="O31" s="268">
        <v>1000</v>
      </c>
      <c r="P31" s="269">
        <v>1</v>
      </c>
      <c r="Q31" s="268">
        <f t="shared" si="19"/>
        <v>1000</v>
      </c>
      <c r="R31" s="267" t="s">
        <v>480</v>
      </c>
      <c r="S31" s="268">
        <v>1000</v>
      </c>
      <c r="T31" s="269">
        <v>1</v>
      </c>
      <c r="U31" s="270">
        <f t="shared" si="20"/>
        <v>1000</v>
      </c>
    </row>
    <row r="32" spans="1:21" x14ac:dyDescent="0.2">
      <c r="A32" s="266" t="s">
        <v>52</v>
      </c>
      <c r="B32" s="267" t="s">
        <v>53</v>
      </c>
      <c r="C32" s="268">
        <v>10000</v>
      </c>
      <c r="D32" s="269">
        <v>1</v>
      </c>
      <c r="E32" s="268">
        <f t="shared" si="16"/>
        <v>10000</v>
      </c>
      <c r="F32" s="267" t="s">
        <v>53</v>
      </c>
      <c r="G32" s="268">
        <v>10000</v>
      </c>
      <c r="H32" s="269">
        <v>1</v>
      </c>
      <c r="I32" s="268">
        <f t="shared" si="17"/>
        <v>10000</v>
      </c>
      <c r="J32" s="272" t="s">
        <v>54</v>
      </c>
      <c r="K32" s="268">
        <v>12000</v>
      </c>
      <c r="L32" s="269">
        <v>1</v>
      </c>
      <c r="M32" s="268">
        <f t="shared" si="18"/>
        <v>12000</v>
      </c>
      <c r="N32" s="267" t="s">
        <v>55</v>
      </c>
      <c r="O32" s="268">
        <v>12000</v>
      </c>
      <c r="P32" s="269">
        <v>2</v>
      </c>
      <c r="Q32" s="268">
        <f t="shared" si="19"/>
        <v>24000</v>
      </c>
      <c r="R32" s="267" t="s">
        <v>55</v>
      </c>
      <c r="S32" s="268">
        <v>12000</v>
      </c>
      <c r="T32" s="269">
        <v>3</v>
      </c>
      <c r="U32" s="270">
        <f t="shared" si="20"/>
        <v>36000</v>
      </c>
    </row>
    <row r="33" spans="1:21" x14ac:dyDescent="0.2">
      <c r="A33" s="266" t="s">
        <v>198</v>
      </c>
      <c r="B33" s="267" t="s">
        <v>23</v>
      </c>
      <c r="C33" s="268">
        <v>1200</v>
      </c>
      <c r="D33" s="269">
        <v>1</v>
      </c>
      <c r="E33" s="268">
        <f t="shared" si="16"/>
        <v>1200</v>
      </c>
      <c r="F33" s="267" t="s">
        <v>23</v>
      </c>
      <c r="G33" s="268">
        <v>1200</v>
      </c>
      <c r="H33" s="269">
        <v>1</v>
      </c>
      <c r="I33" s="268">
        <f t="shared" si="17"/>
        <v>1200</v>
      </c>
      <c r="J33" s="267" t="s">
        <v>23</v>
      </c>
      <c r="K33" s="268">
        <v>1200</v>
      </c>
      <c r="L33" s="269">
        <v>1</v>
      </c>
      <c r="M33" s="268">
        <f t="shared" si="18"/>
        <v>1200</v>
      </c>
      <c r="N33" s="267" t="s">
        <v>23</v>
      </c>
      <c r="O33" s="268">
        <v>1200</v>
      </c>
      <c r="P33" s="269">
        <v>2</v>
      </c>
      <c r="Q33" s="268">
        <f t="shared" si="19"/>
        <v>2400</v>
      </c>
      <c r="R33" s="267" t="s">
        <v>23</v>
      </c>
      <c r="S33" s="268">
        <v>1200</v>
      </c>
      <c r="T33" s="269">
        <v>2</v>
      </c>
      <c r="U33" s="270">
        <f t="shared" si="20"/>
        <v>2400</v>
      </c>
    </row>
    <row r="34" spans="1:21" x14ac:dyDescent="0.2">
      <c r="A34" s="266" t="s">
        <v>429</v>
      </c>
      <c r="B34" s="267" t="s">
        <v>23</v>
      </c>
      <c r="C34" s="268">
        <v>2000</v>
      </c>
      <c r="D34" s="269">
        <v>1</v>
      </c>
      <c r="E34" s="268">
        <f t="shared" si="16"/>
        <v>2000</v>
      </c>
      <c r="F34" s="267" t="s">
        <v>23</v>
      </c>
      <c r="G34" s="268">
        <v>2000</v>
      </c>
      <c r="H34" s="269">
        <v>1</v>
      </c>
      <c r="I34" s="268">
        <f t="shared" si="17"/>
        <v>2000</v>
      </c>
      <c r="J34" s="267" t="s">
        <v>23</v>
      </c>
      <c r="K34" s="268">
        <v>2000</v>
      </c>
      <c r="L34" s="269">
        <v>1</v>
      </c>
      <c r="M34" s="268">
        <f t="shared" si="18"/>
        <v>2000</v>
      </c>
      <c r="N34" s="267" t="s">
        <v>23</v>
      </c>
      <c r="O34" s="268">
        <v>2000</v>
      </c>
      <c r="P34" s="269">
        <v>2</v>
      </c>
      <c r="Q34" s="268">
        <f t="shared" si="19"/>
        <v>4000</v>
      </c>
      <c r="R34" s="267" t="s">
        <v>23</v>
      </c>
      <c r="S34" s="268">
        <v>2000</v>
      </c>
      <c r="T34" s="269">
        <v>2</v>
      </c>
      <c r="U34" s="270">
        <f t="shared" si="20"/>
        <v>4000</v>
      </c>
    </row>
    <row r="35" spans="1:21" ht="38.25" x14ac:dyDescent="0.2">
      <c r="A35" s="266" t="s">
        <v>447</v>
      </c>
      <c r="B35" s="267" t="s">
        <v>460</v>
      </c>
      <c r="C35" s="268">
        <v>3000</v>
      </c>
      <c r="D35" s="269">
        <v>1</v>
      </c>
      <c r="E35" s="268">
        <v>3000</v>
      </c>
      <c r="F35" s="267" t="s">
        <v>460</v>
      </c>
      <c r="G35" s="268">
        <v>3000</v>
      </c>
      <c r="H35" s="269">
        <v>1</v>
      </c>
      <c r="I35" s="268">
        <f t="shared" si="17"/>
        <v>3000</v>
      </c>
      <c r="J35" s="267" t="s">
        <v>460</v>
      </c>
      <c r="K35" s="268">
        <v>3000</v>
      </c>
      <c r="L35" s="269">
        <v>1</v>
      </c>
      <c r="M35" s="268">
        <f t="shared" si="18"/>
        <v>3000</v>
      </c>
      <c r="N35" s="267" t="s">
        <v>460</v>
      </c>
      <c r="O35" s="268">
        <v>3000</v>
      </c>
      <c r="P35" s="269">
        <v>1</v>
      </c>
      <c r="Q35" s="268">
        <f t="shared" ref="Q35" si="23">P35*O35</f>
        <v>3000</v>
      </c>
      <c r="R35" s="267" t="s">
        <v>460</v>
      </c>
      <c r="S35" s="268">
        <v>3000</v>
      </c>
      <c r="T35" s="269">
        <v>2</v>
      </c>
      <c r="U35" s="270">
        <f t="shared" ref="U35" si="24">T35*S35</f>
        <v>6000</v>
      </c>
    </row>
    <row r="36" spans="1:21" x14ac:dyDescent="0.2">
      <c r="A36" s="266" t="s">
        <v>430</v>
      </c>
      <c r="B36" s="267" t="s">
        <v>23</v>
      </c>
      <c r="C36" s="268"/>
      <c r="D36" s="269"/>
      <c r="E36" s="268">
        <f t="shared" si="16"/>
        <v>0</v>
      </c>
      <c r="F36" s="267" t="s">
        <v>23</v>
      </c>
      <c r="G36" s="268"/>
      <c r="H36" s="269"/>
      <c r="I36" s="268">
        <f t="shared" si="17"/>
        <v>0</v>
      </c>
      <c r="J36" s="267" t="s">
        <v>23</v>
      </c>
      <c r="K36" s="268">
        <v>3500</v>
      </c>
      <c r="L36" s="269">
        <v>1</v>
      </c>
      <c r="M36" s="268">
        <f t="shared" si="18"/>
        <v>3500</v>
      </c>
      <c r="N36" s="267" t="s">
        <v>23</v>
      </c>
      <c r="O36" s="268">
        <v>3500</v>
      </c>
      <c r="P36" s="269">
        <v>2</v>
      </c>
      <c r="Q36" s="268">
        <f t="shared" si="19"/>
        <v>7000</v>
      </c>
      <c r="R36" s="267" t="s">
        <v>23</v>
      </c>
      <c r="S36" s="268">
        <v>3500</v>
      </c>
      <c r="T36" s="269">
        <v>3</v>
      </c>
      <c r="U36" s="270">
        <f t="shared" si="20"/>
        <v>10500</v>
      </c>
    </row>
    <row r="37" spans="1:21" x14ac:dyDescent="0.2">
      <c r="A37" s="266" t="s">
        <v>56</v>
      </c>
      <c r="B37" s="284"/>
      <c r="C37" s="268">
        <f>SUM(C22:C36)</f>
        <v>44600</v>
      </c>
      <c r="D37" s="269"/>
      <c r="E37" s="268">
        <f>SUM(E22:E36)</f>
        <v>51400</v>
      </c>
      <c r="F37" s="284"/>
      <c r="G37" s="268">
        <f>SUM(G22:G36)</f>
        <v>44600</v>
      </c>
      <c r="H37" s="269"/>
      <c r="I37" s="268">
        <f>SUM(I22:I36)</f>
        <v>52900</v>
      </c>
      <c r="J37" s="284"/>
      <c r="K37" s="268">
        <f>SUM(K22:K36)</f>
        <v>50100</v>
      </c>
      <c r="L37" s="269"/>
      <c r="M37" s="268">
        <f>SUM(M22:M36)</f>
        <v>61800</v>
      </c>
      <c r="N37" s="284"/>
      <c r="O37" s="268">
        <f>SUM(O22:O36)</f>
        <v>52100</v>
      </c>
      <c r="P37" s="269"/>
      <c r="Q37" s="268">
        <f>SUM(Q22:Q36)</f>
        <v>89300</v>
      </c>
      <c r="R37" s="284"/>
      <c r="S37" s="268">
        <f>SUM(S22:S36)</f>
        <v>52100</v>
      </c>
      <c r="T37" s="269"/>
      <c r="U37" s="268">
        <f>SUM(U22:U36)</f>
        <v>110800</v>
      </c>
    </row>
    <row r="38" spans="1:21" x14ac:dyDescent="0.2">
      <c r="A38" s="285"/>
      <c r="B38" s="286"/>
      <c r="C38" s="286"/>
      <c r="D38" s="287"/>
      <c r="E38" s="286"/>
      <c r="F38" s="286"/>
      <c r="G38" s="286"/>
      <c r="H38" s="287"/>
      <c r="I38" s="286"/>
      <c r="J38" s="286"/>
      <c r="K38" s="286"/>
      <c r="L38" s="287"/>
      <c r="M38" s="286"/>
      <c r="N38" s="286"/>
      <c r="O38" s="286"/>
      <c r="P38" s="287"/>
      <c r="Q38" s="286"/>
      <c r="R38" s="286"/>
      <c r="S38" s="286"/>
      <c r="T38" s="287"/>
      <c r="U38" s="288"/>
    </row>
    <row r="39" spans="1:21" x14ac:dyDescent="0.2">
      <c r="A39" s="266" t="s">
        <v>57</v>
      </c>
      <c r="B39" s="267" t="s">
        <v>23</v>
      </c>
      <c r="C39" s="268">
        <v>1000</v>
      </c>
      <c r="D39" s="269">
        <v>1</v>
      </c>
      <c r="E39" s="268">
        <f t="shared" ref="E39:E53" si="25">C39*D39</f>
        <v>1000</v>
      </c>
      <c r="F39" s="267" t="s">
        <v>23</v>
      </c>
      <c r="G39" s="268">
        <v>1000</v>
      </c>
      <c r="H39" s="269">
        <v>1</v>
      </c>
      <c r="I39" s="268">
        <f t="shared" ref="I39:I53" si="26">G39*H39</f>
        <v>1000</v>
      </c>
      <c r="J39" s="267" t="s">
        <v>23</v>
      </c>
      <c r="K39" s="268">
        <v>1000</v>
      </c>
      <c r="L39" s="269">
        <v>1</v>
      </c>
      <c r="M39" s="268">
        <f t="shared" ref="M39:M53" si="27">K39*L39</f>
        <v>1000</v>
      </c>
      <c r="N39" s="267" t="s">
        <v>23</v>
      </c>
      <c r="O39" s="268">
        <v>1000</v>
      </c>
      <c r="P39" s="269">
        <v>1</v>
      </c>
      <c r="Q39" s="268">
        <f>P39*O39</f>
        <v>1000</v>
      </c>
      <c r="R39" s="267" t="s">
        <v>23</v>
      </c>
      <c r="S39" s="268">
        <v>1000</v>
      </c>
      <c r="T39" s="269">
        <v>1</v>
      </c>
      <c r="U39" s="270">
        <f>T39*S39</f>
        <v>1000</v>
      </c>
    </row>
    <row r="40" spans="1:21" x14ac:dyDescent="0.2">
      <c r="A40" s="266" t="s">
        <v>58</v>
      </c>
      <c r="B40" s="267" t="s">
        <v>23</v>
      </c>
      <c r="C40" s="268">
        <v>5000</v>
      </c>
      <c r="D40" s="269">
        <v>1</v>
      </c>
      <c r="E40" s="268">
        <f t="shared" si="25"/>
        <v>5000</v>
      </c>
      <c r="F40" s="267" t="s">
        <v>23</v>
      </c>
      <c r="G40" s="268">
        <v>5000</v>
      </c>
      <c r="H40" s="269">
        <v>1</v>
      </c>
      <c r="I40" s="268">
        <f t="shared" si="26"/>
        <v>5000</v>
      </c>
      <c r="J40" s="267" t="s">
        <v>23</v>
      </c>
      <c r="K40" s="268">
        <v>5000</v>
      </c>
      <c r="L40" s="269">
        <v>1</v>
      </c>
      <c r="M40" s="268">
        <f t="shared" si="27"/>
        <v>5000</v>
      </c>
      <c r="N40" s="267" t="s">
        <v>23</v>
      </c>
      <c r="O40" s="268">
        <v>5000</v>
      </c>
      <c r="P40" s="269">
        <v>2</v>
      </c>
      <c r="Q40" s="268">
        <f t="shared" ref="Q40:Q53" si="28">P40*O40</f>
        <v>10000</v>
      </c>
      <c r="R40" s="267" t="s">
        <v>23</v>
      </c>
      <c r="S40" s="268">
        <v>5000</v>
      </c>
      <c r="T40" s="269">
        <v>2</v>
      </c>
      <c r="U40" s="270">
        <f t="shared" ref="U40:U53" si="29">T40*S40</f>
        <v>10000</v>
      </c>
    </row>
    <row r="41" spans="1:21" x14ac:dyDescent="0.2">
      <c r="A41" s="266" t="s">
        <v>431</v>
      </c>
      <c r="B41" s="267" t="s">
        <v>23</v>
      </c>
      <c r="C41" s="268">
        <v>5000</v>
      </c>
      <c r="D41" s="269">
        <v>1</v>
      </c>
      <c r="E41" s="268">
        <f t="shared" si="25"/>
        <v>5000</v>
      </c>
      <c r="F41" s="267" t="s">
        <v>23</v>
      </c>
      <c r="G41" s="268">
        <v>5000</v>
      </c>
      <c r="H41" s="269">
        <v>1</v>
      </c>
      <c r="I41" s="268">
        <f t="shared" si="26"/>
        <v>5000</v>
      </c>
      <c r="J41" s="267" t="s">
        <v>23</v>
      </c>
      <c r="K41" s="268">
        <v>5000</v>
      </c>
      <c r="L41" s="269">
        <v>1</v>
      </c>
      <c r="M41" s="268">
        <f t="shared" si="27"/>
        <v>5000</v>
      </c>
      <c r="N41" s="267" t="s">
        <v>23</v>
      </c>
      <c r="O41" s="268">
        <v>5000</v>
      </c>
      <c r="P41" s="269">
        <v>1</v>
      </c>
      <c r="Q41" s="268">
        <f t="shared" si="28"/>
        <v>5000</v>
      </c>
      <c r="R41" s="267" t="s">
        <v>23</v>
      </c>
      <c r="S41" s="268">
        <v>5000</v>
      </c>
      <c r="T41" s="269">
        <v>1</v>
      </c>
      <c r="U41" s="270">
        <f t="shared" si="29"/>
        <v>5000</v>
      </c>
    </row>
    <row r="42" spans="1:21" ht="25.5" x14ac:dyDescent="0.2">
      <c r="A42" s="266" t="s">
        <v>435</v>
      </c>
      <c r="B42" s="267" t="s">
        <v>461</v>
      </c>
      <c r="C42" s="268">
        <v>2000</v>
      </c>
      <c r="D42" s="269">
        <v>1</v>
      </c>
      <c r="E42" s="268">
        <f t="shared" si="25"/>
        <v>2000</v>
      </c>
      <c r="F42" s="267" t="s">
        <v>461</v>
      </c>
      <c r="G42" s="268">
        <v>2000</v>
      </c>
      <c r="H42" s="269">
        <v>1</v>
      </c>
      <c r="I42" s="268">
        <f t="shared" si="26"/>
        <v>2000</v>
      </c>
      <c r="J42" s="267" t="s">
        <v>461</v>
      </c>
      <c r="K42" s="268">
        <v>2000</v>
      </c>
      <c r="L42" s="269">
        <v>1</v>
      </c>
      <c r="M42" s="268">
        <f t="shared" si="27"/>
        <v>2000</v>
      </c>
      <c r="N42" s="267" t="s">
        <v>461</v>
      </c>
      <c r="O42" s="268">
        <v>2000</v>
      </c>
      <c r="P42" s="269">
        <v>1</v>
      </c>
      <c r="Q42" s="268">
        <f t="shared" si="28"/>
        <v>2000</v>
      </c>
      <c r="R42" s="267" t="s">
        <v>461</v>
      </c>
      <c r="S42" s="268">
        <v>2000</v>
      </c>
      <c r="T42" s="269">
        <v>1</v>
      </c>
      <c r="U42" s="270">
        <f t="shared" si="29"/>
        <v>2000</v>
      </c>
    </row>
    <row r="43" spans="1:21" ht="21.75" customHeight="1" x14ac:dyDescent="0.2">
      <c r="A43" s="266" t="s">
        <v>59</v>
      </c>
      <c r="B43" s="267" t="s">
        <v>23</v>
      </c>
      <c r="C43" s="268">
        <v>5000</v>
      </c>
      <c r="D43" s="269">
        <v>1</v>
      </c>
      <c r="E43" s="268">
        <f t="shared" si="25"/>
        <v>5000</v>
      </c>
      <c r="F43" s="267" t="s">
        <v>23</v>
      </c>
      <c r="G43" s="268">
        <v>5000</v>
      </c>
      <c r="H43" s="269">
        <v>1</v>
      </c>
      <c r="I43" s="268">
        <f t="shared" si="26"/>
        <v>5000</v>
      </c>
      <c r="J43" s="267" t="s">
        <v>23</v>
      </c>
      <c r="K43" s="268">
        <v>5000</v>
      </c>
      <c r="L43" s="269">
        <v>1</v>
      </c>
      <c r="M43" s="268">
        <f t="shared" si="27"/>
        <v>5000</v>
      </c>
      <c r="N43" s="267" t="s">
        <v>23</v>
      </c>
      <c r="O43" s="268">
        <v>5000</v>
      </c>
      <c r="P43" s="269">
        <v>2</v>
      </c>
      <c r="Q43" s="268">
        <f t="shared" si="28"/>
        <v>10000</v>
      </c>
      <c r="R43" s="267" t="s">
        <v>23</v>
      </c>
      <c r="S43" s="268">
        <v>5000</v>
      </c>
      <c r="T43" s="269">
        <v>2</v>
      </c>
      <c r="U43" s="270">
        <f t="shared" si="29"/>
        <v>10000</v>
      </c>
    </row>
    <row r="44" spans="1:21" ht="78" customHeight="1" x14ac:dyDescent="0.2">
      <c r="A44" s="266" t="s">
        <v>484</v>
      </c>
      <c r="B44" s="267" t="s">
        <v>23</v>
      </c>
      <c r="C44" s="268">
        <v>1800</v>
      </c>
      <c r="D44" s="269">
        <v>2</v>
      </c>
      <c r="E44" s="268">
        <f t="shared" si="25"/>
        <v>3600</v>
      </c>
      <c r="F44" s="267" t="s">
        <v>23</v>
      </c>
      <c r="G44" s="268">
        <v>1800</v>
      </c>
      <c r="H44" s="269">
        <v>3</v>
      </c>
      <c r="I44" s="268">
        <f t="shared" si="26"/>
        <v>5400</v>
      </c>
      <c r="J44" s="267" t="s">
        <v>23</v>
      </c>
      <c r="K44" s="268">
        <v>1800</v>
      </c>
      <c r="L44" s="269">
        <v>3</v>
      </c>
      <c r="M44" s="268">
        <f t="shared" si="27"/>
        <v>5400</v>
      </c>
      <c r="N44" s="267" t="s">
        <v>23</v>
      </c>
      <c r="O44" s="268">
        <v>1800</v>
      </c>
      <c r="P44" s="269">
        <v>4</v>
      </c>
      <c r="Q44" s="268">
        <f t="shared" si="28"/>
        <v>7200</v>
      </c>
      <c r="R44" s="267" t="s">
        <v>23</v>
      </c>
      <c r="S44" s="268">
        <v>1800</v>
      </c>
      <c r="T44" s="269">
        <v>5</v>
      </c>
      <c r="U44" s="270">
        <f t="shared" si="29"/>
        <v>9000</v>
      </c>
    </row>
    <row r="45" spans="1:21" ht="25.5" x14ac:dyDescent="0.2">
      <c r="A45" s="266" t="s">
        <v>60</v>
      </c>
      <c r="B45" s="273" t="s">
        <v>462</v>
      </c>
      <c r="C45" s="268">
        <v>1000</v>
      </c>
      <c r="D45" s="269">
        <v>1</v>
      </c>
      <c r="E45" s="268">
        <f t="shared" si="25"/>
        <v>1000</v>
      </c>
      <c r="F45" s="273" t="s">
        <v>462</v>
      </c>
      <c r="G45" s="268">
        <v>1000</v>
      </c>
      <c r="H45" s="269">
        <v>1</v>
      </c>
      <c r="I45" s="268">
        <f t="shared" si="26"/>
        <v>1000</v>
      </c>
      <c r="J45" s="273" t="s">
        <v>462</v>
      </c>
      <c r="K45" s="268">
        <v>1000</v>
      </c>
      <c r="L45" s="269">
        <v>1</v>
      </c>
      <c r="M45" s="268">
        <f t="shared" si="27"/>
        <v>1000</v>
      </c>
      <c r="N45" s="273" t="s">
        <v>462</v>
      </c>
      <c r="O45" s="268">
        <v>1000</v>
      </c>
      <c r="P45" s="269">
        <v>1</v>
      </c>
      <c r="Q45" s="268">
        <f t="shared" si="28"/>
        <v>1000</v>
      </c>
      <c r="R45" s="273" t="s">
        <v>462</v>
      </c>
      <c r="S45" s="268">
        <v>1000</v>
      </c>
      <c r="T45" s="269">
        <v>1</v>
      </c>
      <c r="U45" s="270">
        <f t="shared" si="29"/>
        <v>1000</v>
      </c>
    </row>
    <row r="46" spans="1:21" x14ac:dyDescent="0.2">
      <c r="A46" s="266" t="s">
        <v>426</v>
      </c>
      <c r="B46" s="273" t="s">
        <v>23</v>
      </c>
      <c r="C46" s="268">
        <v>1300</v>
      </c>
      <c r="D46" s="269">
        <v>1</v>
      </c>
      <c r="E46" s="268">
        <f t="shared" si="25"/>
        <v>1300</v>
      </c>
      <c r="F46" s="273" t="s">
        <v>23</v>
      </c>
      <c r="G46" s="268">
        <v>1300</v>
      </c>
      <c r="H46" s="269">
        <v>1</v>
      </c>
      <c r="I46" s="268">
        <f t="shared" si="26"/>
        <v>1300</v>
      </c>
      <c r="J46" s="273" t="s">
        <v>23</v>
      </c>
      <c r="K46" s="268">
        <v>1300</v>
      </c>
      <c r="L46" s="269">
        <v>1</v>
      </c>
      <c r="M46" s="268">
        <f t="shared" si="27"/>
        <v>1300</v>
      </c>
      <c r="N46" s="273" t="s">
        <v>23</v>
      </c>
      <c r="O46" s="268">
        <v>1300</v>
      </c>
      <c r="P46" s="269">
        <v>1</v>
      </c>
      <c r="Q46" s="268">
        <f t="shared" si="28"/>
        <v>1300</v>
      </c>
      <c r="R46" s="273" t="s">
        <v>23</v>
      </c>
      <c r="S46" s="268">
        <v>1300</v>
      </c>
      <c r="T46" s="269">
        <v>1</v>
      </c>
      <c r="U46" s="270">
        <f t="shared" si="29"/>
        <v>1300</v>
      </c>
    </row>
    <row r="47" spans="1:21" x14ac:dyDescent="0.2">
      <c r="A47" s="266" t="s">
        <v>61</v>
      </c>
      <c r="B47" s="273"/>
      <c r="C47" s="268"/>
      <c r="D47" s="269"/>
      <c r="E47" s="268"/>
      <c r="F47" s="273"/>
      <c r="G47" s="268"/>
      <c r="H47" s="269"/>
      <c r="I47" s="268"/>
      <c r="J47" s="273"/>
      <c r="K47" s="268"/>
      <c r="L47" s="269"/>
      <c r="M47" s="268"/>
      <c r="N47" s="273" t="s">
        <v>23</v>
      </c>
      <c r="O47" s="268">
        <v>5000</v>
      </c>
      <c r="P47" s="269">
        <v>1</v>
      </c>
      <c r="Q47" s="268">
        <f t="shared" si="28"/>
        <v>5000</v>
      </c>
      <c r="R47" s="273" t="s">
        <v>23</v>
      </c>
      <c r="S47" s="268">
        <v>5000</v>
      </c>
      <c r="T47" s="269">
        <v>1</v>
      </c>
      <c r="U47" s="270">
        <f t="shared" si="29"/>
        <v>5000</v>
      </c>
    </row>
    <row r="48" spans="1:21" x14ac:dyDescent="0.2">
      <c r="A48" s="266" t="s">
        <v>428</v>
      </c>
      <c r="B48" s="273" t="s">
        <v>62</v>
      </c>
      <c r="C48" s="268">
        <v>500</v>
      </c>
      <c r="D48" s="269">
        <v>1</v>
      </c>
      <c r="E48" s="268">
        <f t="shared" si="25"/>
        <v>500</v>
      </c>
      <c r="F48" s="273" t="s">
        <v>62</v>
      </c>
      <c r="G48" s="268">
        <v>500</v>
      </c>
      <c r="H48" s="269">
        <v>1</v>
      </c>
      <c r="I48" s="268">
        <f t="shared" si="26"/>
        <v>500</v>
      </c>
      <c r="J48" s="273" t="s">
        <v>62</v>
      </c>
      <c r="K48" s="268">
        <v>500</v>
      </c>
      <c r="L48" s="269">
        <v>1</v>
      </c>
      <c r="M48" s="268">
        <f t="shared" si="27"/>
        <v>500</v>
      </c>
      <c r="N48" s="273" t="s">
        <v>62</v>
      </c>
      <c r="O48" s="268">
        <v>500</v>
      </c>
      <c r="P48" s="269">
        <v>4</v>
      </c>
      <c r="Q48" s="268">
        <f t="shared" si="28"/>
        <v>2000</v>
      </c>
      <c r="R48" s="273" t="s">
        <v>62</v>
      </c>
      <c r="S48" s="268">
        <v>500</v>
      </c>
      <c r="T48" s="269">
        <v>6</v>
      </c>
      <c r="U48" s="270">
        <f t="shared" si="29"/>
        <v>3000</v>
      </c>
    </row>
    <row r="49" spans="1:21" x14ac:dyDescent="0.2">
      <c r="A49" s="266" t="s">
        <v>63</v>
      </c>
      <c r="B49" s="267" t="s">
        <v>23</v>
      </c>
      <c r="C49" s="268">
        <v>200</v>
      </c>
      <c r="D49" s="269">
        <v>1</v>
      </c>
      <c r="E49" s="268">
        <f t="shared" si="25"/>
        <v>200</v>
      </c>
      <c r="F49" s="267" t="s">
        <v>23</v>
      </c>
      <c r="G49" s="268">
        <v>200</v>
      </c>
      <c r="H49" s="269">
        <v>1</v>
      </c>
      <c r="I49" s="268">
        <f t="shared" si="26"/>
        <v>200</v>
      </c>
      <c r="J49" s="267" t="s">
        <v>23</v>
      </c>
      <c r="K49" s="268">
        <v>200</v>
      </c>
      <c r="L49" s="269">
        <v>1</v>
      </c>
      <c r="M49" s="268">
        <f t="shared" si="27"/>
        <v>200</v>
      </c>
      <c r="N49" s="267" t="s">
        <v>64</v>
      </c>
      <c r="O49" s="268">
        <v>200</v>
      </c>
      <c r="P49" s="269">
        <v>2</v>
      </c>
      <c r="Q49" s="268">
        <f t="shared" si="28"/>
        <v>400</v>
      </c>
      <c r="R49" s="267" t="s">
        <v>65</v>
      </c>
      <c r="S49" s="268">
        <v>200</v>
      </c>
      <c r="T49" s="269">
        <v>3</v>
      </c>
      <c r="U49" s="270">
        <f t="shared" si="29"/>
        <v>600</v>
      </c>
    </row>
    <row r="50" spans="1:21" x14ac:dyDescent="0.2">
      <c r="A50" s="266" t="s">
        <v>66</v>
      </c>
      <c r="B50" s="273" t="s">
        <v>67</v>
      </c>
      <c r="C50" s="268">
        <v>1500</v>
      </c>
      <c r="D50" s="269">
        <v>1</v>
      </c>
      <c r="E50" s="268">
        <f t="shared" si="25"/>
        <v>1500</v>
      </c>
      <c r="F50" s="273" t="s">
        <v>67</v>
      </c>
      <c r="G50" s="268">
        <v>1500</v>
      </c>
      <c r="H50" s="269">
        <v>1</v>
      </c>
      <c r="I50" s="268">
        <f t="shared" si="26"/>
        <v>1500</v>
      </c>
      <c r="J50" s="273" t="s">
        <v>67</v>
      </c>
      <c r="K50" s="268">
        <f>C50</f>
        <v>1500</v>
      </c>
      <c r="L50" s="269">
        <v>1</v>
      </c>
      <c r="M50" s="268">
        <f t="shared" si="27"/>
        <v>1500</v>
      </c>
      <c r="N50" s="273" t="s">
        <v>67</v>
      </c>
      <c r="O50" s="268">
        <v>1500</v>
      </c>
      <c r="P50" s="269">
        <v>1</v>
      </c>
      <c r="Q50" s="268">
        <f t="shared" si="28"/>
        <v>1500</v>
      </c>
      <c r="R50" s="273" t="s">
        <v>67</v>
      </c>
      <c r="S50" s="268">
        <v>1500</v>
      </c>
      <c r="T50" s="269">
        <v>1</v>
      </c>
      <c r="U50" s="270">
        <f t="shared" si="29"/>
        <v>1500</v>
      </c>
    </row>
    <row r="51" spans="1:21" x14ac:dyDescent="0.2">
      <c r="A51" s="266" t="s">
        <v>438</v>
      </c>
      <c r="B51" s="273" t="s">
        <v>23</v>
      </c>
      <c r="C51" s="268">
        <v>4000</v>
      </c>
      <c r="D51" s="269">
        <v>1</v>
      </c>
      <c r="E51" s="268">
        <f t="shared" si="25"/>
        <v>4000</v>
      </c>
      <c r="F51" s="273" t="s">
        <v>23</v>
      </c>
      <c r="G51" s="268">
        <v>4000</v>
      </c>
      <c r="H51" s="269">
        <v>1</v>
      </c>
      <c r="I51" s="268">
        <f t="shared" si="26"/>
        <v>4000</v>
      </c>
      <c r="J51" s="273" t="s">
        <v>23</v>
      </c>
      <c r="K51" s="268">
        <v>4000</v>
      </c>
      <c r="L51" s="269">
        <v>1</v>
      </c>
      <c r="M51" s="268">
        <f t="shared" si="27"/>
        <v>4000</v>
      </c>
      <c r="N51" s="273" t="s">
        <v>23</v>
      </c>
      <c r="O51" s="268">
        <v>4000</v>
      </c>
      <c r="P51" s="269">
        <v>2</v>
      </c>
      <c r="Q51" s="268">
        <f t="shared" si="28"/>
        <v>8000</v>
      </c>
      <c r="R51" s="273" t="s">
        <v>23</v>
      </c>
      <c r="S51" s="268">
        <v>4000</v>
      </c>
      <c r="T51" s="269">
        <v>3</v>
      </c>
      <c r="U51" s="270">
        <f t="shared" si="29"/>
        <v>12000</v>
      </c>
    </row>
    <row r="52" spans="1:21" x14ac:dyDescent="0.2">
      <c r="A52" s="266" t="s">
        <v>437</v>
      </c>
      <c r="B52" s="273" t="s">
        <v>23</v>
      </c>
      <c r="C52" s="268">
        <v>25000</v>
      </c>
      <c r="D52" s="269">
        <v>1</v>
      </c>
      <c r="E52" s="268">
        <f t="shared" si="25"/>
        <v>25000</v>
      </c>
      <c r="F52" s="273" t="s">
        <v>23</v>
      </c>
      <c r="G52" s="268">
        <v>25000</v>
      </c>
      <c r="H52" s="269">
        <v>1</v>
      </c>
      <c r="I52" s="268">
        <f t="shared" si="26"/>
        <v>25000</v>
      </c>
      <c r="J52" s="273" t="s">
        <v>23</v>
      </c>
      <c r="K52" s="268">
        <v>25000</v>
      </c>
      <c r="L52" s="269">
        <v>1</v>
      </c>
      <c r="M52" s="268">
        <f t="shared" si="27"/>
        <v>25000</v>
      </c>
      <c r="N52" s="273" t="s">
        <v>23</v>
      </c>
      <c r="O52" s="268">
        <v>25000</v>
      </c>
      <c r="P52" s="269">
        <v>1</v>
      </c>
      <c r="Q52" s="268">
        <f t="shared" si="28"/>
        <v>25000</v>
      </c>
      <c r="R52" s="273" t="s">
        <v>23</v>
      </c>
      <c r="S52" s="268">
        <v>25000</v>
      </c>
      <c r="T52" s="269">
        <v>1</v>
      </c>
      <c r="U52" s="270">
        <f t="shared" si="29"/>
        <v>25000</v>
      </c>
    </row>
    <row r="53" spans="1:21" x14ac:dyDescent="0.2">
      <c r="A53" s="266" t="s">
        <v>432</v>
      </c>
      <c r="B53" s="273" t="s">
        <v>433</v>
      </c>
      <c r="C53" s="268">
        <v>2000</v>
      </c>
      <c r="D53" s="269">
        <v>1</v>
      </c>
      <c r="E53" s="268">
        <f t="shared" si="25"/>
        <v>2000</v>
      </c>
      <c r="F53" s="273" t="s">
        <v>433</v>
      </c>
      <c r="G53" s="268">
        <v>2000</v>
      </c>
      <c r="H53" s="269">
        <v>1</v>
      </c>
      <c r="I53" s="268">
        <f t="shared" si="26"/>
        <v>2000</v>
      </c>
      <c r="J53" s="273" t="s">
        <v>433</v>
      </c>
      <c r="K53" s="268">
        <v>2000</v>
      </c>
      <c r="L53" s="269">
        <v>1</v>
      </c>
      <c r="M53" s="268">
        <f t="shared" si="27"/>
        <v>2000</v>
      </c>
      <c r="N53" s="273" t="s">
        <v>433</v>
      </c>
      <c r="O53" s="268">
        <v>2000</v>
      </c>
      <c r="P53" s="269">
        <v>1</v>
      </c>
      <c r="Q53" s="268">
        <f t="shared" si="28"/>
        <v>2000</v>
      </c>
      <c r="R53" s="273" t="s">
        <v>433</v>
      </c>
      <c r="S53" s="268">
        <v>2000</v>
      </c>
      <c r="T53" s="269">
        <v>1</v>
      </c>
      <c r="U53" s="270">
        <f t="shared" si="29"/>
        <v>2000</v>
      </c>
    </row>
    <row r="54" spans="1:21" x14ac:dyDescent="0.2">
      <c r="A54" s="289" t="s">
        <v>68</v>
      </c>
      <c r="B54" s="290"/>
      <c r="C54" s="291">
        <f>SUM(C39:C53)</f>
        <v>55300</v>
      </c>
      <c r="D54" s="292"/>
      <c r="E54" s="291">
        <f>SUM(E39:E53)</f>
        <v>57100</v>
      </c>
      <c r="F54" s="290"/>
      <c r="G54" s="291">
        <f>SUM(G39:G53)</f>
        <v>55300</v>
      </c>
      <c r="H54" s="292"/>
      <c r="I54" s="291">
        <f>SUM(I39:I53)</f>
        <v>58900</v>
      </c>
      <c r="J54" s="290"/>
      <c r="K54" s="291">
        <f>SUM(K39:K53)</f>
        <v>55300</v>
      </c>
      <c r="L54" s="292"/>
      <c r="M54" s="291">
        <f>SUM(M39:M53)</f>
        <v>58900</v>
      </c>
      <c r="N54" s="290"/>
      <c r="O54" s="291">
        <f>SUM(O39:O53)</f>
        <v>60300</v>
      </c>
      <c r="P54" s="292"/>
      <c r="Q54" s="291">
        <f>SUM(Q39:Q53)</f>
        <v>81400</v>
      </c>
      <c r="R54" s="290"/>
      <c r="S54" s="291">
        <f>SUM(S39:S53)</f>
        <v>60300</v>
      </c>
      <c r="T54" s="292"/>
      <c r="U54" s="291">
        <f>SUM(U39:U53)</f>
        <v>88400</v>
      </c>
    </row>
    <row r="55" spans="1:21" ht="38.25" x14ac:dyDescent="0.2">
      <c r="A55" s="266" t="s">
        <v>434</v>
      </c>
      <c r="B55" s="273" t="s">
        <v>467</v>
      </c>
      <c r="C55" s="268"/>
      <c r="D55" s="269"/>
      <c r="E55" s="268"/>
      <c r="F55" s="273" t="s">
        <v>467</v>
      </c>
      <c r="G55" s="268"/>
      <c r="H55" s="269"/>
      <c r="I55" s="268"/>
      <c r="J55" s="273" t="s">
        <v>467</v>
      </c>
      <c r="K55" s="268"/>
      <c r="L55" s="269"/>
      <c r="M55" s="268"/>
      <c r="N55" s="273" t="s">
        <v>467</v>
      </c>
      <c r="O55" s="268">
        <v>20000</v>
      </c>
      <c r="P55" s="269">
        <v>0</v>
      </c>
      <c r="Q55" s="268">
        <f t="shared" ref="Q55:Q56" si="30">P55*O55</f>
        <v>0</v>
      </c>
      <c r="R55" s="273" t="s">
        <v>467</v>
      </c>
      <c r="S55" s="268">
        <v>20000</v>
      </c>
      <c r="T55" s="269">
        <v>0</v>
      </c>
      <c r="U55" s="270">
        <f t="shared" ref="U55" si="31">T55*S55</f>
        <v>0</v>
      </c>
    </row>
    <row r="56" spans="1:21" ht="48" customHeight="1" x14ac:dyDescent="0.2">
      <c r="A56" s="266" t="s">
        <v>69</v>
      </c>
      <c r="B56" s="273" t="s">
        <v>467</v>
      </c>
      <c r="C56" s="268"/>
      <c r="D56" s="269"/>
      <c r="E56" s="268"/>
      <c r="F56" s="273" t="s">
        <v>467</v>
      </c>
      <c r="G56" s="268"/>
      <c r="H56" s="269"/>
      <c r="I56" s="268"/>
      <c r="J56" s="273" t="s">
        <v>467</v>
      </c>
      <c r="K56" s="268"/>
      <c r="L56" s="269"/>
      <c r="M56" s="268"/>
      <c r="N56" s="273" t="s">
        <v>467</v>
      </c>
      <c r="O56" s="268">
        <v>300</v>
      </c>
      <c r="P56" s="269">
        <v>0</v>
      </c>
      <c r="Q56" s="268">
        <f t="shared" si="30"/>
        <v>0</v>
      </c>
      <c r="R56" s="273" t="s">
        <v>467</v>
      </c>
      <c r="S56" s="268">
        <v>300</v>
      </c>
      <c r="T56" s="269">
        <v>0</v>
      </c>
      <c r="U56" s="270">
        <f t="shared" ref="U56" si="32">T56*S56</f>
        <v>0</v>
      </c>
    </row>
    <row r="57" spans="1:21" ht="26.45" customHeight="1" x14ac:dyDescent="0.2">
      <c r="A57" s="266" t="s">
        <v>481</v>
      </c>
      <c r="B57" s="273" t="s">
        <v>467</v>
      </c>
      <c r="C57" s="268">
        <v>3500</v>
      </c>
      <c r="D57" s="269">
        <v>1</v>
      </c>
      <c r="E57" s="268">
        <f>D57*C57</f>
        <v>3500</v>
      </c>
      <c r="F57" s="273" t="s">
        <v>467</v>
      </c>
      <c r="G57" s="268">
        <v>3500</v>
      </c>
      <c r="H57" s="269">
        <v>1</v>
      </c>
      <c r="I57" s="268">
        <f>H57*G57</f>
        <v>3500</v>
      </c>
      <c r="J57" s="273" t="s">
        <v>467</v>
      </c>
      <c r="K57" s="268">
        <v>3500</v>
      </c>
      <c r="L57" s="269">
        <v>1</v>
      </c>
      <c r="M57" s="268">
        <f>L57*K57</f>
        <v>3500</v>
      </c>
      <c r="N57" s="273" t="s">
        <v>467</v>
      </c>
      <c r="O57" s="268">
        <v>3500</v>
      </c>
      <c r="P57" s="269">
        <v>1</v>
      </c>
      <c r="Q57" s="268">
        <f>P57*O57</f>
        <v>3500</v>
      </c>
      <c r="R57" s="273" t="s">
        <v>467</v>
      </c>
      <c r="S57" s="268">
        <v>3500</v>
      </c>
      <c r="T57" s="269">
        <v>2</v>
      </c>
      <c r="U57" s="270">
        <f>T57*S57</f>
        <v>7000</v>
      </c>
    </row>
    <row r="58" spans="1:21" ht="38.25" x14ac:dyDescent="0.2">
      <c r="A58" s="266" t="s">
        <v>425</v>
      </c>
      <c r="B58" s="273" t="s">
        <v>467</v>
      </c>
      <c r="C58" s="268">
        <v>5000</v>
      </c>
      <c r="D58" s="269">
        <v>1</v>
      </c>
      <c r="E58" s="268">
        <f t="shared" ref="E58" si="33">D58*C58</f>
        <v>5000</v>
      </c>
      <c r="F58" s="273" t="s">
        <v>467</v>
      </c>
      <c r="G58" s="268">
        <v>5000</v>
      </c>
      <c r="H58" s="269">
        <v>1</v>
      </c>
      <c r="I58" s="268">
        <f t="shared" ref="I58" si="34">H58*G58</f>
        <v>5000</v>
      </c>
      <c r="J58" s="273" t="s">
        <v>467</v>
      </c>
      <c r="K58" s="268">
        <v>5000</v>
      </c>
      <c r="L58" s="269">
        <v>1</v>
      </c>
      <c r="M58" s="268">
        <f>L58*K58</f>
        <v>5000</v>
      </c>
      <c r="N58" s="273" t="s">
        <v>467</v>
      </c>
      <c r="O58" s="268">
        <v>5000</v>
      </c>
      <c r="P58" s="269">
        <v>1</v>
      </c>
      <c r="Q58" s="268">
        <f t="shared" ref="Q58:Q59" si="35">P58*O58</f>
        <v>5000</v>
      </c>
      <c r="R58" s="273" t="s">
        <v>467</v>
      </c>
      <c r="S58" s="268">
        <v>5000</v>
      </c>
      <c r="T58" s="269">
        <v>2</v>
      </c>
      <c r="U58" s="270">
        <f t="shared" ref="U58:U59" si="36">T58*S58</f>
        <v>10000</v>
      </c>
    </row>
    <row r="59" spans="1:21" ht="38.25" x14ac:dyDescent="0.2">
      <c r="A59" s="266" t="s">
        <v>70</v>
      </c>
      <c r="B59" s="273" t="s">
        <v>467</v>
      </c>
      <c r="C59" s="268"/>
      <c r="D59" s="269"/>
      <c r="E59" s="268"/>
      <c r="F59" s="273" t="s">
        <v>467</v>
      </c>
      <c r="G59" s="268"/>
      <c r="H59" s="269"/>
      <c r="I59" s="268"/>
      <c r="J59" s="273" t="s">
        <v>467</v>
      </c>
      <c r="K59" s="268"/>
      <c r="L59" s="269"/>
      <c r="M59" s="268"/>
      <c r="N59" s="273" t="s">
        <v>467</v>
      </c>
      <c r="O59" s="268">
        <v>2000</v>
      </c>
      <c r="P59" s="269">
        <v>0</v>
      </c>
      <c r="Q59" s="268">
        <f t="shared" si="35"/>
        <v>0</v>
      </c>
      <c r="R59" s="273" t="s">
        <v>467</v>
      </c>
      <c r="S59" s="268">
        <v>2000</v>
      </c>
      <c r="T59" s="269">
        <v>0</v>
      </c>
      <c r="U59" s="270">
        <f t="shared" si="36"/>
        <v>0</v>
      </c>
    </row>
    <row r="60" spans="1:21" x14ac:dyDescent="0.2">
      <c r="A60" s="289" t="s">
        <v>71</v>
      </c>
      <c r="B60" s="290"/>
      <c r="C60" s="291">
        <f>SUM(C57:C58)</f>
        <v>8500</v>
      </c>
      <c r="D60" s="292"/>
      <c r="E60" s="291">
        <f>SUM(E57:E58)</f>
        <v>8500</v>
      </c>
      <c r="F60" s="290"/>
      <c r="G60" s="291">
        <f>SUM(G57:G58)</f>
        <v>8500</v>
      </c>
      <c r="H60" s="292"/>
      <c r="I60" s="291">
        <f>SUM(I57:I58)</f>
        <v>8500</v>
      </c>
      <c r="J60" s="290"/>
      <c r="K60" s="291">
        <f>SUM(K57:K58)</f>
        <v>8500</v>
      </c>
      <c r="L60" s="292"/>
      <c r="M60" s="291">
        <f>SUM(M57:M58)</f>
        <v>8500</v>
      </c>
      <c r="N60" s="290"/>
      <c r="O60" s="291">
        <f>SUM(O55:O59)</f>
        <v>30800</v>
      </c>
      <c r="P60" s="292"/>
      <c r="Q60" s="291">
        <f>SUM(Q55:Q59)</f>
        <v>8500</v>
      </c>
      <c r="R60" s="290"/>
      <c r="S60" s="291">
        <f>SUM(S55:S59)</f>
        <v>30800</v>
      </c>
      <c r="T60" s="292"/>
      <c r="U60" s="291">
        <f>SUM(U55:U59)</f>
        <v>17000</v>
      </c>
    </row>
    <row r="61" spans="1:21" ht="26.25" thickBot="1" x14ac:dyDescent="0.25">
      <c r="A61" s="293" t="s">
        <v>72</v>
      </c>
      <c r="B61" s="294"/>
      <c r="C61" s="295">
        <f>C60+C54+C37+C20</f>
        <v>160900</v>
      </c>
      <c r="D61" s="296"/>
      <c r="E61" s="295">
        <f>E60+E54+E37+E20</f>
        <v>169500</v>
      </c>
      <c r="F61" s="297"/>
      <c r="G61" s="295">
        <f>G60+G54+G37+G20</f>
        <v>161400</v>
      </c>
      <c r="H61" s="298"/>
      <c r="I61" s="295">
        <f>I60+I54+I37+I20</f>
        <v>173300</v>
      </c>
      <c r="J61" s="297"/>
      <c r="K61" s="295">
        <f>K60+K54+K37+K20</f>
        <v>170900</v>
      </c>
      <c r="L61" s="296"/>
      <c r="M61" s="295">
        <f>M60+M54+M37+M20</f>
        <v>196400</v>
      </c>
      <c r="N61" s="297"/>
      <c r="O61" s="295">
        <f>O60+O54+O37+O20</f>
        <v>244200</v>
      </c>
      <c r="P61" s="298"/>
      <c r="Q61" s="295">
        <f>Q60+Q54+Q37+Q20</f>
        <v>303900</v>
      </c>
      <c r="R61" s="297"/>
      <c r="S61" s="295">
        <f>S60+S54+S37+S20</f>
        <v>246200</v>
      </c>
      <c r="T61" s="296"/>
      <c r="U61" s="295">
        <f>U60+U54+U37+U20</f>
        <v>353100</v>
      </c>
    </row>
  </sheetData>
  <sheetProtection algorithmName="SHA-512" hashValue="5rMnL3rQRp6maBoHnP9shtHq7AU+iKhres5Tikkzyll/a4RIDWa4rWhYbUov97soJd8zrzbLwcr0KbcIQ8dUSw==" saltValue="Btu0tzl+QmPD3dm7TLqi3g==" spinCount="100000" sheet="1" formatCells="0" formatColumns="0" formatRows="0"/>
  <autoFilter ref="A3:U61"/>
  <pageMargins left="0.70866141732283472" right="0.70866141732283472" top="0.74803149606299213" bottom="0.74803149606299213"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22"/>
  <sheetViews>
    <sheetView rightToLeft="1" zoomScale="80" zoomScaleNormal="80" workbookViewId="0">
      <selection activeCell="B10" sqref="B10:M10"/>
    </sheetView>
  </sheetViews>
  <sheetFormatPr defaultColWidth="9" defaultRowHeight="14.25" x14ac:dyDescent="0.2"/>
  <cols>
    <col min="1" max="1" width="3.375" style="118" customWidth="1"/>
    <col min="2" max="2" width="7.375" style="118" customWidth="1"/>
    <col min="3" max="3" width="9" style="118" customWidth="1"/>
    <col min="4" max="4" width="4.875" style="118" customWidth="1"/>
    <col min="5" max="9" width="9" style="118"/>
    <col min="10" max="10" width="16.375" style="118" customWidth="1"/>
    <col min="11" max="12" width="9" style="118"/>
    <col min="13" max="13" width="11.625" style="118" customWidth="1"/>
    <col min="14" max="16384" width="9" style="118"/>
  </cols>
  <sheetData>
    <row r="1" spans="2:13" ht="15" thickBot="1" x14ac:dyDescent="0.25"/>
    <row r="2" spans="2:13" ht="15.75" x14ac:dyDescent="0.25">
      <c r="B2" s="128"/>
      <c r="C2" s="129"/>
      <c r="D2" s="129"/>
      <c r="E2" s="129"/>
      <c r="F2" s="129"/>
      <c r="G2" s="129"/>
      <c r="H2" s="129"/>
      <c r="I2" s="129"/>
      <c r="J2" s="129"/>
      <c r="K2" s="119"/>
      <c r="L2" s="119"/>
      <c r="M2" s="120"/>
    </row>
    <row r="3" spans="2:13" ht="15.75" x14ac:dyDescent="0.25">
      <c r="B3" s="130"/>
      <c r="C3" s="323" t="s">
        <v>413</v>
      </c>
      <c r="D3" s="323"/>
      <c r="E3" s="323"/>
      <c r="F3" s="323"/>
      <c r="G3" s="323"/>
      <c r="H3" s="323"/>
      <c r="I3" s="323"/>
      <c r="J3" s="131"/>
      <c r="M3" s="121"/>
    </row>
    <row r="4" spans="2:13" ht="15.75" x14ac:dyDescent="0.25">
      <c r="B4" s="130"/>
      <c r="C4" s="324" t="s">
        <v>73</v>
      </c>
      <c r="D4" s="324"/>
      <c r="E4" s="324"/>
      <c r="F4" s="324"/>
      <c r="G4" s="324"/>
      <c r="H4" s="324"/>
      <c r="I4" s="324"/>
      <c r="J4" s="131"/>
      <c r="M4" s="121"/>
    </row>
    <row r="5" spans="2:13" ht="15.75" x14ac:dyDescent="0.25">
      <c r="B5" s="130"/>
      <c r="C5" s="323" t="s">
        <v>74</v>
      </c>
      <c r="D5" s="323"/>
      <c r="E5" s="323"/>
      <c r="F5" s="323"/>
      <c r="G5" s="323"/>
      <c r="H5" s="323"/>
      <c r="I5" s="323"/>
      <c r="J5" s="131"/>
      <c r="M5" s="121"/>
    </row>
    <row r="6" spans="2:13" ht="15.75" x14ac:dyDescent="0.25">
      <c r="B6" s="130"/>
      <c r="C6" s="122"/>
      <c r="D6" s="131"/>
      <c r="E6" s="131"/>
      <c r="F6" s="131"/>
      <c r="G6" s="131"/>
      <c r="H6" s="131"/>
      <c r="I6" s="131"/>
      <c r="J6" s="131"/>
      <c r="M6" s="121"/>
    </row>
    <row r="7" spans="2:13" ht="15.75" x14ac:dyDescent="0.25">
      <c r="B7" s="130"/>
      <c r="C7" s="132" t="s">
        <v>75</v>
      </c>
      <c r="D7" s="132"/>
      <c r="E7" s="132"/>
      <c r="F7" s="132"/>
      <c r="G7" s="132"/>
      <c r="H7" s="132"/>
      <c r="I7" s="132"/>
      <c r="J7" s="133" t="s">
        <v>475</v>
      </c>
      <c r="M7" s="121"/>
    </row>
    <row r="8" spans="2:13" ht="15.75" x14ac:dyDescent="0.25">
      <c r="B8" s="130"/>
      <c r="C8" s="131"/>
      <c r="D8" s="131"/>
      <c r="E8" s="131"/>
      <c r="F8" s="131"/>
      <c r="G8" s="131"/>
      <c r="H8" s="131"/>
      <c r="I8" s="131"/>
      <c r="J8" s="131"/>
      <c r="M8" s="121"/>
    </row>
    <row r="9" spans="2:13" ht="90.75" customHeight="1" x14ac:dyDescent="0.2">
      <c r="B9" s="325" t="s">
        <v>76</v>
      </c>
      <c r="C9" s="326"/>
      <c r="D9" s="326"/>
      <c r="E9" s="326"/>
      <c r="F9" s="326"/>
      <c r="G9" s="326"/>
      <c r="H9" s="326"/>
      <c r="I9" s="326"/>
      <c r="J9" s="326"/>
      <c r="K9" s="326"/>
      <c r="L9" s="326"/>
      <c r="M9" s="327"/>
    </row>
    <row r="10" spans="2:13" ht="61.5" customHeight="1" x14ac:dyDescent="0.2">
      <c r="B10" s="325" t="s">
        <v>77</v>
      </c>
      <c r="C10" s="326"/>
      <c r="D10" s="326"/>
      <c r="E10" s="326"/>
      <c r="F10" s="326"/>
      <c r="G10" s="326"/>
      <c r="H10" s="326"/>
      <c r="I10" s="326"/>
      <c r="J10" s="326"/>
      <c r="K10" s="326"/>
      <c r="L10" s="326"/>
      <c r="M10" s="327"/>
    </row>
    <row r="11" spans="2:13" ht="44.25" customHeight="1" x14ac:dyDescent="0.2">
      <c r="B11" s="328" t="s">
        <v>78</v>
      </c>
      <c r="C11" s="329"/>
      <c r="D11" s="329"/>
      <c r="E11" s="329"/>
      <c r="F11" s="329"/>
      <c r="G11" s="329"/>
      <c r="H11" s="329"/>
      <c r="I11" s="329"/>
      <c r="J11" s="329"/>
      <c r="K11" s="329"/>
      <c r="L11" s="329"/>
      <c r="M11" s="330"/>
    </row>
    <row r="12" spans="2:13" ht="62.25" customHeight="1" x14ac:dyDescent="0.2">
      <c r="B12" s="325" t="s">
        <v>79</v>
      </c>
      <c r="C12" s="326"/>
      <c r="D12" s="326"/>
      <c r="E12" s="326"/>
      <c r="F12" s="326"/>
      <c r="G12" s="326"/>
      <c r="H12" s="326"/>
      <c r="I12" s="326"/>
      <c r="J12" s="326"/>
      <c r="K12" s="326"/>
      <c r="L12" s="326"/>
      <c r="M12" s="327"/>
    </row>
    <row r="13" spans="2:13" ht="30" customHeight="1" x14ac:dyDescent="0.2">
      <c r="B13" s="325" t="s">
        <v>80</v>
      </c>
      <c r="C13" s="326"/>
      <c r="D13" s="326"/>
      <c r="E13" s="326"/>
      <c r="F13" s="326"/>
      <c r="G13" s="326"/>
      <c r="H13" s="326"/>
      <c r="I13" s="326"/>
      <c r="J13" s="326"/>
      <c r="K13" s="326"/>
      <c r="L13" s="326"/>
      <c r="M13" s="327"/>
    </row>
    <row r="14" spans="2:13" ht="30" customHeight="1" x14ac:dyDescent="0.2">
      <c r="B14" s="325" t="s">
        <v>81</v>
      </c>
      <c r="C14" s="326"/>
      <c r="D14" s="326"/>
      <c r="E14" s="326"/>
      <c r="F14" s="326"/>
      <c r="G14" s="326"/>
      <c r="H14" s="326"/>
      <c r="I14" s="326"/>
      <c r="J14" s="326"/>
      <c r="K14" s="326"/>
      <c r="L14" s="326"/>
      <c r="M14" s="327"/>
    </row>
    <row r="15" spans="2:13" ht="30" customHeight="1" x14ac:dyDescent="0.2">
      <c r="B15" s="328" t="s">
        <v>82</v>
      </c>
      <c r="C15" s="329"/>
      <c r="D15" s="329"/>
      <c r="E15" s="329"/>
      <c r="F15" s="329"/>
      <c r="G15" s="329"/>
      <c r="H15" s="329"/>
      <c r="I15" s="329"/>
      <c r="J15" s="329"/>
      <c r="K15" s="329"/>
      <c r="L15" s="329"/>
      <c r="M15" s="330"/>
    </row>
    <row r="16" spans="2:13" ht="33" customHeight="1" x14ac:dyDescent="0.2">
      <c r="B16" s="325" t="s">
        <v>83</v>
      </c>
      <c r="C16" s="326"/>
      <c r="D16" s="326"/>
      <c r="E16" s="326"/>
      <c r="F16" s="326"/>
      <c r="G16" s="326"/>
      <c r="H16" s="326"/>
      <c r="I16" s="326"/>
      <c r="J16" s="326"/>
      <c r="K16" s="326"/>
      <c r="L16" s="326"/>
      <c r="M16" s="327"/>
    </row>
    <row r="17" spans="2:13" ht="33" customHeight="1" x14ac:dyDescent="0.2">
      <c r="B17" s="124"/>
      <c r="C17" s="125"/>
      <c r="D17" s="125"/>
      <c r="E17" s="125"/>
      <c r="F17" s="125"/>
      <c r="G17" s="125"/>
      <c r="H17" s="125"/>
      <c r="I17" s="125"/>
      <c r="J17" s="125"/>
      <c r="K17" s="125"/>
      <c r="L17" s="125"/>
      <c r="M17" s="126"/>
    </row>
    <row r="18" spans="2:13" x14ac:dyDescent="0.2">
      <c r="B18" s="311" t="s">
        <v>84</v>
      </c>
      <c r="C18" s="312"/>
      <c r="D18" s="312"/>
      <c r="E18" s="312"/>
      <c r="F18" s="312"/>
      <c r="G18" s="312"/>
      <c r="H18" s="312"/>
      <c r="I18" s="312"/>
      <c r="J18" s="312"/>
      <c r="K18" s="312"/>
      <c r="L18" s="312"/>
      <c r="M18" s="313"/>
    </row>
    <row r="19" spans="2:13" ht="15" x14ac:dyDescent="0.25">
      <c r="B19" s="127"/>
      <c r="C19" s="3"/>
      <c r="D19" s="3"/>
      <c r="E19" s="3"/>
      <c r="F19" s="3"/>
      <c r="G19" s="3"/>
      <c r="H19" s="3"/>
      <c r="I19" s="3"/>
      <c r="J19" s="3"/>
      <c r="K19" s="3"/>
      <c r="L19" s="3"/>
      <c r="M19" s="123"/>
    </row>
    <row r="20" spans="2:13" ht="41.25" customHeight="1" x14ac:dyDescent="0.25">
      <c r="B20" s="314" t="s">
        <v>85</v>
      </c>
      <c r="C20" s="315"/>
      <c r="D20" s="315"/>
      <c r="E20" s="315"/>
      <c r="F20" s="315"/>
      <c r="G20" s="315"/>
      <c r="H20" s="315"/>
      <c r="I20" s="315"/>
      <c r="J20" s="315"/>
      <c r="K20" s="315"/>
      <c r="L20" s="315"/>
      <c r="M20" s="316"/>
    </row>
    <row r="21" spans="2:13" ht="39" customHeight="1" x14ac:dyDescent="0.2">
      <c r="B21" s="317" t="s">
        <v>86</v>
      </c>
      <c r="C21" s="318"/>
      <c r="D21" s="318"/>
      <c r="E21" s="318"/>
      <c r="F21" s="318"/>
      <c r="G21" s="318"/>
      <c r="H21" s="318"/>
      <c r="I21" s="318"/>
      <c r="J21" s="318"/>
      <c r="K21" s="318"/>
      <c r="L21" s="318"/>
      <c r="M21" s="319"/>
    </row>
    <row r="22" spans="2:13" ht="48" customHeight="1" thickBot="1" x14ac:dyDescent="0.25">
      <c r="B22" s="320" t="s">
        <v>87</v>
      </c>
      <c r="C22" s="321"/>
      <c r="D22" s="321"/>
      <c r="E22" s="321"/>
      <c r="F22" s="321"/>
      <c r="G22" s="321"/>
      <c r="H22" s="321"/>
      <c r="I22" s="321"/>
      <c r="J22" s="321"/>
      <c r="K22" s="321"/>
      <c r="L22" s="321"/>
      <c r="M22" s="322"/>
    </row>
  </sheetData>
  <sheetProtection algorithmName="SHA-512" hashValue="fGLDok+yn7bBxMUAxYaG4aPRstlqZDZOzKtfnShXPBi1obfCuuEfDyH2CiOvciPl8EZ+m1yRz89mF7+SeGxmog==" saltValue="mpyYhOh3PfOgYyFxzdFyew==" spinCount="100000" sheet="1" formatCells="0" formatColumns="0" formatRows="0"/>
  <mergeCells count="15">
    <mergeCell ref="B18:M18"/>
    <mergeCell ref="B20:M20"/>
    <mergeCell ref="B21:M21"/>
    <mergeCell ref="B22:M22"/>
    <mergeCell ref="C3:I3"/>
    <mergeCell ref="C4:I4"/>
    <mergeCell ref="C5:I5"/>
    <mergeCell ref="B9:M9"/>
    <mergeCell ref="B10:M10"/>
    <mergeCell ref="B12:M12"/>
    <mergeCell ref="B16:M16"/>
    <mergeCell ref="B11:M11"/>
    <mergeCell ref="B15:M15"/>
    <mergeCell ref="B14:M14"/>
    <mergeCell ref="B13:M13"/>
  </mergeCells>
  <pageMargins left="0.70866141732283472" right="0.70866141732283472" top="0.74803149606299213" bottom="0.74803149606299213" header="0.31496062992125984" footer="0.31496062992125984"/>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D22"/>
  <sheetViews>
    <sheetView showGridLines="0" rightToLeft="1" zoomScale="80" zoomScaleNormal="80" workbookViewId="0"/>
  </sheetViews>
  <sheetFormatPr defaultColWidth="9" defaultRowHeight="15" x14ac:dyDescent="0.25"/>
  <cols>
    <col min="1" max="1" width="3.125" style="24" customWidth="1"/>
    <col min="2" max="2" width="3.375" style="24" customWidth="1"/>
    <col min="3" max="3" width="39" style="24" customWidth="1"/>
    <col min="4" max="4" width="35.625" style="24" customWidth="1"/>
    <col min="5" max="16384" width="9" style="24"/>
  </cols>
  <sheetData>
    <row r="7" spans="2:4" x14ac:dyDescent="0.25">
      <c r="B7" s="25" t="str">
        <f>'פתיח '!$C$7&amp;"- "&amp;'פתיח '!$J$7</f>
        <v>תקן ריהוט וציוד לדיור  קהילתי - גירסה: 07/09/26</v>
      </c>
    </row>
    <row r="8" spans="2:4" x14ac:dyDescent="0.25">
      <c r="B8" s="25"/>
    </row>
    <row r="9" spans="2:4" x14ac:dyDescent="0.25">
      <c r="B9" s="134"/>
      <c r="C9" s="135" t="s">
        <v>88</v>
      </c>
      <c r="D9" s="136" t="s">
        <v>89</v>
      </c>
    </row>
    <row r="10" spans="2:4" x14ac:dyDescent="0.25">
      <c r="B10" s="137" t="s">
        <v>90</v>
      </c>
      <c r="C10" s="138"/>
      <c r="D10" s="139"/>
    </row>
    <row r="11" spans="2:4" x14ac:dyDescent="0.25">
      <c r="B11" s="140"/>
      <c r="C11" s="141" t="s">
        <v>91</v>
      </c>
      <c r="D11" s="142" t="s">
        <v>92</v>
      </c>
    </row>
    <row r="12" spans="2:4" x14ac:dyDescent="0.25">
      <c r="B12" s="143"/>
      <c r="C12" s="144" t="s">
        <v>93</v>
      </c>
      <c r="D12" s="145" t="s">
        <v>94</v>
      </c>
    </row>
    <row r="13" spans="2:4" x14ac:dyDescent="0.25">
      <c r="B13" s="146" t="s">
        <v>95</v>
      </c>
      <c r="C13" s="147"/>
      <c r="D13" s="136"/>
    </row>
    <row r="14" spans="2:4" x14ac:dyDescent="0.25">
      <c r="B14" s="134">
        <v>1</v>
      </c>
      <c r="C14" s="147" t="s">
        <v>96</v>
      </c>
      <c r="D14" s="136" t="s">
        <v>97</v>
      </c>
    </row>
    <row r="15" spans="2:4" x14ac:dyDescent="0.25">
      <c r="B15" s="134">
        <v>2</v>
      </c>
      <c r="C15" s="147" t="s">
        <v>98</v>
      </c>
      <c r="D15" s="136" t="s">
        <v>99</v>
      </c>
    </row>
    <row r="16" spans="2:4" x14ac:dyDescent="0.25">
      <c r="B16" s="134">
        <v>3</v>
      </c>
      <c r="C16" s="147" t="s">
        <v>100</v>
      </c>
      <c r="D16" s="136" t="s">
        <v>101</v>
      </c>
    </row>
    <row r="17" spans="2:4" ht="29.25" x14ac:dyDescent="0.25">
      <c r="B17" s="134">
        <v>4</v>
      </c>
      <c r="C17" s="147" t="s">
        <v>102</v>
      </c>
      <c r="D17" s="136" t="s">
        <v>406</v>
      </c>
    </row>
    <row r="18" spans="2:4" ht="29.25" x14ac:dyDescent="0.25">
      <c r="B18" s="134">
        <v>5</v>
      </c>
      <c r="C18" s="147" t="s">
        <v>103</v>
      </c>
      <c r="D18" s="136" t="s">
        <v>407</v>
      </c>
    </row>
    <row r="19" spans="2:4" ht="30" x14ac:dyDescent="0.25">
      <c r="B19" s="134">
        <v>6</v>
      </c>
      <c r="C19" s="147" t="s">
        <v>104</v>
      </c>
      <c r="D19" s="136" t="s">
        <v>408</v>
      </c>
    </row>
    <row r="20" spans="2:4" ht="30" x14ac:dyDescent="0.25">
      <c r="B20" s="134">
        <v>7</v>
      </c>
      <c r="C20" s="147" t="s">
        <v>105</v>
      </c>
      <c r="D20" s="136" t="s">
        <v>409</v>
      </c>
    </row>
    <row r="21" spans="2:4" x14ac:dyDescent="0.25">
      <c r="B21" s="146" t="s">
        <v>106</v>
      </c>
      <c r="C21" s="147"/>
      <c r="D21" s="136"/>
    </row>
    <row r="22" spans="2:4" x14ac:dyDescent="0.25">
      <c r="B22" s="134"/>
      <c r="C22" s="147" t="s">
        <v>107</v>
      </c>
      <c r="D22" s="136" t="s">
        <v>108</v>
      </c>
    </row>
  </sheetData>
  <sheetProtection algorithmName="SHA-512" hashValue="X482tvdBdZV8hUr6EH2grcJM8gyaZGYYqv8JsE2zufzzMz/22Q5zHm5LThGxfagHWWmfyaD7Z5OBn0EIOrpwOQ==" saltValue="XZQ7trGLxhYv8Lc89q2HQA==" spinCount="100000" sheet="1" formatCells="0" formatColumns="0" formatRows="0"/>
  <pageMargins left="0.7" right="0.7" top="0.75" bottom="0.75" header="0.3" footer="0.3"/>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51"/>
  <sheetViews>
    <sheetView showGridLines="0" rightToLeft="1" topLeftCell="A4" zoomScale="80" zoomScaleNormal="80" workbookViewId="0">
      <selection activeCell="H37" sqref="H37"/>
    </sheetView>
  </sheetViews>
  <sheetFormatPr defaultColWidth="9" defaultRowHeight="15" x14ac:dyDescent="0.25"/>
  <cols>
    <col min="1" max="1" width="3.125" style="3" customWidth="1"/>
    <col min="2" max="2" width="5.125" style="3" customWidth="1"/>
    <col min="3" max="3" width="55.875" style="9" customWidth="1"/>
    <col min="4" max="4" width="21.625" style="3" customWidth="1"/>
    <col min="5" max="5" width="25.25" style="3" customWidth="1"/>
    <col min="6" max="16384" width="9" style="3"/>
  </cols>
  <sheetData>
    <row r="1" spans="2:5" x14ac:dyDescent="0.25">
      <c r="C1" s="4" t="str">
        <f>'תוכן עניינים'!$B$7</f>
        <v>תקן ריהוט וציוד לדיור  קהילתי - גירסה: 07/09/26</v>
      </c>
    </row>
    <row r="2" spans="2:5" x14ac:dyDescent="0.25">
      <c r="B2" s="96"/>
      <c r="C2" s="98" t="s">
        <v>109</v>
      </c>
      <c r="D2" s="6"/>
      <c r="E2" s="7"/>
    </row>
    <row r="3" spans="2:5" x14ac:dyDescent="0.25">
      <c r="B3" s="8"/>
      <c r="C3" s="9" t="s">
        <v>110</v>
      </c>
      <c r="E3" s="10"/>
    </row>
    <row r="4" spans="2:5" x14ac:dyDescent="0.25">
      <c r="B4" s="251"/>
      <c r="C4" s="9" t="s">
        <v>471</v>
      </c>
      <c r="E4" s="10"/>
    </row>
    <row r="5" spans="2:5" x14ac:dyDescent="0.25">
      <c r="B5" s="8"/>
      <c r="C5" s="9" t="s">
        <v>111</v>
      </c>
      <c r="E5" s="10"/>
    </row>
    <row r="6" spans="2:5" ht="14.25" customHeight="1" x14ac:dyDescent="0.25">
      <c r="B6" s="8"/>
      <c r="C6" s="9" t="s">
        <v>112</v>
      </c>
      <c r="E6" s="10"/>
    </row>
    <row r="7" spans="2:5" x14ac:dyDescent="0.25">
      <c r="B7" s="5"/>
      <c r="C7" s="97" t="s">
        <v>113</v>
      </c>
      <c r="D7" s="6"/>
      <c r="E7" s="7"/>
    </row>
    <row r="8" spans="2:5" x14ac:dyDescent="0.25">
      <c r="B8" s="8" t="s">
        <v>114</v>
      </c>
      <c r="E8" s="10"/>
    </row>
    <row r="9" spans="2:5" x14ac:dyDescent="0.25">
      <c r="B9" s="8"/>
      <c r="C9" s="9" t="s">
        <v>115</v>
      </c>
      <c r="D9" s="263"/>
      <c r="E9" s="76" t="str">
        <f t="shared" ref="E9:E15" si="0">IF(D9="","יש למלא","")</f>
        <v>יש למלא</v>
      </c>
    </row>
    <row r="10" spans="2:5" x14ac:dyDescent="0.25">
      <c r="B10" s="8"/>
      <c r="C10" s="9" t="s">
        <v>116</v>
      </c>
      <c r="D10" s="262"/>
      <c r="E10" s="76" t="str">
        <f t="shared" si="0"/>
        <v>יש למלא</v>
      </c>
    </row>
    <row r="11" spans="2:5" x14ac:dyDescent="0.25">
      <c r="B11" s="8"/>
      <c r="C11" s="9" t="s">
        <v>117</v>
      </c>
      <c r="D11" s="262"/>
      <c r="E11" s="76" t="str">
        <f t="shared" si="0"/>
        <v>יש למלא</v>
      </c>
    </row>
    <row r="12" spans="2:5" x14ac:dyDescent="0.25">
      <c r="B12" s="8"/>
      <c r="C12" s="9" t="s">
        <v>118</v>
      </c>
      <c r="D12" s="262"/>
      <c r="E12" s="76" t="str">
        <f t="shared" si="0"/>
        <v>יש למלא</v>
      </c>
    </row>
    <row r="13" spans="2:5" x14ac:dyDescent="0.25">
      <c r="B13" s="8"/>
      <c r="C13" s="9" t="s">
        <v>119</v>
      </c>
      <c r="D13" s="262"/>
      <c r="E13" s="76" t="str">
        <f t="shared" si="0"/>
        <v>יש למלא</v>
      </c>
    </row>
    <row r="14" spans="2:5" x14ac:dyDescent="0.25">
      <c r="B14" s="8"/>
      <c r="C14" s="9" t="s">
        <v>120</v>
      </c>
      <c r="D14" s="262"/>
      <c r="E14" s="76" t="str">
        <f t="shared" si="0"/>
        <v>יש למלא</v>
      </c>
    </row>
    <row r="15" spans="2:5" x14ac:dyDescent="0.25">
      <c r="B15" s="8"/>
      <c r="C15" s="9" t="s">
        <v>121</v>
      </c>
      <c r="D15" s="262"/>
      <c r="E15" s="76" t="str">
        <f t="shared" si="0"/>
        <v>יש למלא</v>
      </c>
    </row>
    <row r="16" spans="2:5" x14ac:dyDescent="0.25">
      <c r="B16" s="8"/>
      <c r="C16" s="92"/>
      <c r="D16" s="99"/>
      <c r="E16" s="10"/>
    </row>
    <row r="17" spans="2:5" x14ac:dyDescent="0.25">
      <c r="B17" s="11" t="s">
        <v>122</v>
      </c>
      <c r="C17" s="12"/>
      <c r="D17" s="13"/>
      <c r="E17" s="7"/>
    </row>
    <row r="18" spans="2:5" x14ac:dyDescent="0.25">
      <c r="B18" s="8"/>
      <c r="C18" s="9" t="s">
        <v>123</v>
      </c>
      <c r="D18" s="262"/>
      <c r="E18" s="76" t="str">
        <f>IF(D18="","יש למלא","")</f>
        <v>יש למלא</v>
      </c>
    </row>
    <row r="19" spans="2:5" x14ac:dyDescent="0.25">
      <c r="B19" s="8"/>
      <c r="C19" s="9" t="s">
        <v>124</v>
      </c>
      <c r="D19" s="262"/>
      <c r="E19" s="76" t="str">
        <f t="shared" ref="E19:E22" si="1">IF(D19="","יש למלא","")</f>
        <v>יש למלא</v>
      </c>
    </row>
    <row r="20" spans="2:5" x14ac:dyDescent="0.25">
      <c r="B20" s="8"/>
      <c r="C20" s="9" t="s">
        <v>125</v>
      </c>
      <c r="D20" s="262"/>
      <c r="E20" s="76" t="str">
        <f t="shared" si="1"/>
        <v>יש למלא</v>
      </c>
    </row>
    <row r="21" spans="2:5" x14ac:dyDescent="0.25">
      <c r="B21" s="8"/>
      <c r="C21" s="9" t="s">
        <v>126</v>
      </c>
      <c r="D21" s="262"/>
      <c r="E21" s="76" t="str">
        <f t="shared" si="1"/>
        <v>יש למלא</v>
      </c>
    </row>
    <row r="22" spans="2:5" x14ac:dyDescent="0.25">
      <c r="B22" s="8"/>
      <c r="C22" s="9" t="s">
        <v>127</v>
      </c>
      <c r="D22" s="262"/>
      <c r="E22" s="76" t="str">
        <f t="shared" si="1"/>
        <v>יש למלא</v>
      </c>
    </row>
    <row r="23" spans="2:5" x14ac:dyDescent="0.25">
      <c r="B23" s="14"/>
      <c r="C23" s="15"/>
      <c r="D23" s="16"/>
      <c r="E23" s="17"/>
    </row>
    <row r="24" spans="2:5" x14ac:dyDescent="0.25">
      <c r="B24" s="5" t="s">
        <v>128</v>
      </c>
      <c r="C24" s="12"/>
      <c r="D24" s="13"/>
      <c r="E24" s="7"/>
    </row>
    <row r="25" spans="2:5" x14ac:dyDescent="0.25">
      <c r="B25" s="8"/>
      <c r="C25" s="9" t="s">
        <v>129</v>
      </c>
      <c r="D25" s="262"/>
      <c r="E25" s="76" t="str">
        <f>IF(D25="","יש לבחור מהרשימה","")</f>
        <v>יש לבחור מהרשימה</v>
      </c>
    </row>
    <row r="26" spans="2:5" x14ac:dyDescent="0.25">
      <c r="B26" s="8"/>
      <c r="C26" s="9" t="s">
        <v>371</v>
      </c>
      <c r="D26" s="262"/>
      <c r="E26" s="76" t="str">
        <f>IF(D26="","יש לבחור מהרשימה","")</f>
        <v>יש לבחור מהרשימה</v>
      </c>
    </row>
    <row r="27" spans="2:5" x14ac:dyDescent="0.25">
      <c r="B27" s="8"/>
      <c r="C27" s="9" t="s">
        <v>130</v>
      </c>
      <c r="D27" s="262"/>
      <c r="E27" s="76" t="str">
        <f>IF(D27="","יש לבחור מהרשימה","")</f>
        <v>יש לבחור מהרשימה</v>
      </c>
    </row>
    <row r="28" spans="2:5" s="24" customFormat="1" x14ac:dyDescent="0.25">
      <c r="B28" s="87"/>
      <c r="C28" s="9" t="s">
        <v>131</v>
      </c>
      <c r="D28" s="262"/>
      <c r="E28" s="76" t="str">
        <f>IF(D28="","יש לבחור מהרשימה","")</f>
        <v>יש לבחור מהרשימה</v>
      </c>
    </row>
    <row r="29" spans="2:5" s="24" customFormat="1" x14ac:dyDescent="0.25">
      <c r="B29" s="87"/>
      <c r="C29" s="9"/>
      <c r="D29" s="9"/>
      <c r="E29" s="100"/>
    </row>
    <row r="30" spans="2:5" x14ac:dyDescent="0.25">
      <c r="B30" s="5"/>
      <c r="C30" s="85" t="s">
        <v>132</v>
      </c>
      <c r="D30" s="262">
        <v>1</v>
      </c>
      <c r="E30" s="76" t="str">
        <f>IF(D30="","יש למלא אם רלוונטי","")</f>
        <v/>
      </c>
    </row>
    <row r="31" spans="2:5" x14ac:dyDescent="0.25">
      <c r="B31" s="14"/>
      <c r="C31" s="89" t="s">
        <v>133</v>
      </c>
      <c r="D31" s="262">
        <v>6</v>
      </c>
      <c r="E31" s="76" t="str">
        <f>IF(D31="","יש למלא אם רלוונטי","")</f>
        <v/>
      </c>
    </row>
    <row r="32" spans="2:5" x14ac:dyDescent="0.25">
      <c r="B32" s="8"/>
      <c r="C32" s="90"/>
      <c r="D32" s="86"/>
      <c r="E32" s="76"/>
    </row>
    <row r="33" spans="2:5" x14ac:dyDescent="0.25">
      <c r="B33" s="5"/>
      <c r="C33" s="85" t="s">
        <v>134</v>
      </c>
      <c r="D33" s="251"/>
      <c r="E33" s="76" t="str">
        <f>IF(D33="","יש למלא אם רלוונטי","")</f>
        <v>יש למלא אם רלוונטי</v>
      </c>
    </row>
    <row r="34" spans="2:5" x14ac:dyDescent="0.25">
      <c r="B34" s="14"/>
      <c r="C34" s="89" t="s">
        <v>135</v>
      </c>
      <c r="D34" s="251"/>
      <c r="E34" s="76" t="str">
        <f>IF(D34="","יש למלא אם רלוונטי","")</f>
        <v>יש למלא אם רלוונטי</v>
      </c>
    </row>
    <row r="35" spans="2:5" x14ac:dyDescent="0.25">
      <c r="B35" s="8"/>
      <c r="C35" s="90"/>
      <c r="D35" s="86"/>
      <c r="E35" s="76"/>
    </row>
    <row r="36" spans="2:5" x14ac:dyDescent="0.25">
      <c r="B36" s="5"/>
      <c r="C36" s="93" t="s">
        <v>136</v>
      </c>
      <c r="D36" s="251">
        <v>5</v>
      </c>
      <c r="E36" s="76" t="str">
        <f t="shared" ref="E36" si="2">IF(D36="","יש למלא","")</f>
        <v/>
      </c>
    </row>
    <row r="37" spans="2:5" x14ac:dyDescent="0.25">
      <c r="B37" s="14"/>
      <c r="C37" s="89" t="s">
        <v>137</v>
      </c>
      <c r="D37" s="77">
        <f>D31+D34</f>
        <v>6</v>
      </c>
      <c r="E37" s="10"/>
    </row>
    <row r="38" spans="2:5" x14ac:dyDescent="0.25">
      <c r="B38" s="8"/>
      <c r="C38" s="19" t="s">
        <v>138</v>
      </c>
      <c r="E38" s="10"/>
    </row>
    <row r="39" spans="2:5" x14ac:dyDescent="0.25">
      <c r="B39" s="5"/>
      <c r="C39" s="85" t="s">
        <v>139</v>
      </c>
      <c r="D39" s="251"/>
      <c r="E39" s="76" t="str">
        <f>IF(D39="","יש למלא אם רלוונטי","")</f>
        <v>יש למלא אם רלוונטי</v>
      </c>
    </row>
    <row r="40" spans="2:5" x14ac:dyDescent="0.25">
      <c r="B40" s="8"/>
      <c r="C40" s="88" t="s">
        <v>140</v>
      </c>
      <c r="D40" s="251"/>
      <c r="E40" s="76" t="str">
        <f t="shared" ref="E40:E41" si="3">IF(D40="","יש למלא אם רלוונטי","")</f>
        <v>יש למלא אם רלוונטי</v>
      </c>
    </row>
    <row r="41" spans="2:5" x14ac:dyDescent="0.25">
      <c r="B41" s="14"/>
      <c r="C41" s="91" t="s">
        <v>141</v>
      </c>
      <c r="D41" s="251"/>
      <c r="E41" s="76" t="str">
        <f t="shared" si="3"/>
        <v>יש למלא אם רלוונטי</v>
      </c>
    </row>
    <row r="42" spans="2:5" x14ac:dyDescent="0.25">
      <c r="B42" s="8"/>
      <c r="C42" s="92"/>
      <c r="D42" s="92"/>
      <c r="E42" s="76"/>
    </row>
    <row r="43" spans="2:5" x14ac:dyDescent="0.25">
      <c r="B43" s="5"/>
      <c r="C43" s="93" t="s">
        <v>142</v>
      </c>
      <c r="D43" s="262"/>
      <c r="E43" s="76" t="str">
        <f>IF(D43="","יש לבחור מהרשימה","")</f>
        <v>יש לבחור מהרשימה</v>
      </c>
    </row>
    <row r="44" spans="2:5" x14ac:dyDescent="0.25">
      <c r="B44" s="14"/>
      <c r="C44" s="89" t="s">
        <v>143</v>
      </c>
      <c r="D44" s="251"/>
      <c r="E44" s="76" t="str">
        <f>IF(D43="כן","יש למלא","")</f>
        <v/>
      </c>
    </row>
    <row r="45" spans="2:5" x14ac:dyDescent="0.25">
      <c r="B45" s="14"/>
      <c r="C45" s="15"/>
      <c r="D45" s="18"/>
      <c r="E45" s="17"/>
    </row>
    <row r="46" spans="2:5" x14ac:dyDescent="0.25">
      <c r="C46" s="3"/>
    </row>
    <row r="47" spans="2:5" x14ac:dyDescent="0.25">
      <c r="C47" s="3"/>
    </row>
    <row r="48" spans="2:5" x14ac:dyDescent="0.25">
      <c r="C48" s="3"/>
    </row>
    <row r="49" s="3" customFormat="1" x14ac:dyDescent="0.25"/>
    <row r="50" s="3" customFormat="1" x14ac:dyDescent="0.25"/>
    <row r="51" s="3" customFormat="1" x14ac:dyDescent="0.25"/>
  </sheetData>
  <sheetProtection algorithmName="SHA-512" hashValue="NzRvI2mQCWgp1CqOJUgSFKK7bOfz83E7Jl5XwWtuhfF2fS0VMdrumx+XWwkRqcKuskwAGBNEoHVmhMNzvAh7jw==" saltValue="wKl1dl2+r51qw6gd5U3f5Q==" spinCount="100000" sheet="1" formatCells="0" formatColumns="0" formatRows="0"/>
  <dataValidations count="5">
    <dataValidation type="list" allowBlank="1" showInputMessage="1" showErrorMessage="1" sqref="D25 D43 D27:D28">
      <formula1>"כן, לא"</formula1>
    </dataValidation>
    <dataValidation type="whole" operator="lessThanOrEqual" allowBlank="1" showInputMessage="1" showErrorMessage="1" errorTitle="הגבלת כמות" error="לא יותר מ-8 דיירים לחדר אחד" promptTitle="הגבלת כמות" prompt="לא יותר מ-8 דיירים לחדר אחד" sqref="D31">
      <formula1>D30*8</formula1>
    </dataValidation>
    <dataValidation type="whole" allowBlank="1" showInputMessage="1" showErrorMessage="1" errorTitle="הגבלת כמות" error="מ-9 עד 24 דיירים לחדר אחד" promptTitle="הגבלת כמות" prompt="מ-9 עד 24 דיירים לחדר אחד" sqref="D34">
      <formula1>D33*9</formula1>
      <formula2>D33*24</formula2>
    </dataValidation>
    <dataValidation type="whole" operator="lessThanOrEqual" allowBlank="1" showInputMessage="1" showErrorMessage="1" errorTitle="הגבלת כמות" error="לא יותר מסה&quot;כ דיירים" promptTitle="הגבלת כמות" prompt="לא יותר מסה&quot;כ דיירים" sqref="D36">
      <formula1>D37</formula1>
    </dataValidation>
    <dataValidation type="list" allowBlank="1" showInputMessage="1" showErrorMessage="1" sqref="D26">
      <formula1>"1,2,3,4,5,6,7,8,9,10"</formula1>
    </dataValidation>
  </dataValidations>
  <pageMargins left="0.70866141732283472" right="0.70866141732283472" top="0.74803149606299213" bottom="0.74803149606299213"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9"/>
  <sheetViews>
    <sheetView rightToLeft="1" zoomScale="80" zoomScaleNormal="80" workbookViewId="0">
      <pane xSplit="3" ySplit="4" topLeftCell="D5" activePane="bottomRight" state="frozen"/>
      <selection activeCell="C7" sqref="C7"/>
      <selection pane="topRight" activeCell="C7" sqref="C7"/>
      <selection pane="bottomLeft" activeCell="C7" sqref="C7"/>
      <selection pane="bottomRight" activeCell="M5" sqref="M5"/>
    </sheetView>
  </sheetViews>
  <sheetFormatPr defaultColWidth="9" defaultRowHeight="15" outlineLevelCol="1" x14ac:dyDescent="0.25"/>
  <cols>
    <col min="1" max="1" width="6.375" style="24" customWidth="1"/>
    <col min="2" max="2" width="10.875" style="23" customWidth="1"/>
    <col min="3" max="3" width="21.75" style="23" customWidth="1"/>
    <col min="4" max="4" width="28.25" style="23" customWidth="1"/>
    <col min="5" max="5" width="12.625" style="24" customWidth="1"/>
    <col min="6" max="6" width="6.25" style="24" customWidth="1"/>
    <col min="7" max="7" width="10.375" style="24" customWidth="1"/>
    <col min="8" max="8" width="1.375" style="23" customWidth="1"/>
    <col min="9" max="9" width="7.375" style="24" customWidth="1"/>
    <col min="10" max="10" width="11.75" style="24" bestFit="1" customWidth="1"/>
    <col min="11" max="11" width="9" style="23" customWidth="1"/>
    <col min="12" max="12" width="15" style="23" customWidth="1"/>
    <col min="13" max="13" width="9.625" style="23" customWidth="1"/>
    <col min="14" max="14" width="26" style="23" customWidth="1"/>
    <col min="15" max="15" width="1.75" style="23" customWidth="1"/>
    <col min="16" max="16" width="10.125" style="23" hidden="1" customWidth="1" outlineLevel="1"/>
    <col min="17" max="20" width="0" style="23" hidden="1" customWidth="1" outlineLevel="1"/>
    <col min="21" max="21" width="12.125" style="23" hidden="1" customWidth="1" outlineLevel="1"/>
    <col min="22" max="22" width="10.75" style="23" hidden="1" customWidth="1" outlineLevel="1"/>
    <col min="23" max="23" width="13.25" style="23" hidden="1" customWidth="1" outlineLevel="1"/>
    <col min="24" max="26" width="0" style="23" hidden="1" customWidth="1" outlineLevel="1"/>
    <col min="27" max="27" width="9" style="23" collapsed="1"/>
    <col min="28" max="16384" width="9" style="23"/>
  </cols>
  <sheetData>
    <row r="1" spans="1:26" s="92" customFormat="1" ht="18.75" x14ac:dyDescent="0.3">
      <c r="A1" s="9" t="str">
        <f>'תוכן עניינים'!$B$7</f>
        <v>תקן ריהוט וציוד לדיור  קהילתי - גירסה: 07/09/26</v>
      </c>
      <c r="B1" s="200"/>
      <c r="E1" s="92" t="s">
        <v>144</v>
      </c>
      <c r="F1" s="79">
        <f>'שאלון למילוי הגוף-חובה'!$D$36</f>
        <v>5</v>
      </c>
      <c r="G1" s="9"/>
      <c r="I1" s="299" t="str">
        <f>'שאלון למילוי הגוף-חובה'!$C$10&amp;" : "&amp;'שאלון למילוי הגוף-חובה'!$D$10</f>
        <v xml:space="preserve">שם הגוף המבקש : </v>
      </c>
      <c r="J1" s="9"/>
    </row>
    <row r="2" spans="1:26" ht="18.75" x14ac:dyDescent="0.3">
      <c r="A2" s="192">
        <f>'תוכן עניינים'!B14</f>
        <v>1</v>
      </c>
      <c r="B2" s="192" t="str">
        <f>'תוכן עניינים'!C14</f>
        <v>חדרי שינה: ציוד וריהוט</v>
      </c>
      <c r="C2" s="192"/>
      <c r="E2" s="23" t="s">
        <v>145</v>
      </c>
      <c r="F2" s="79">
        <f>'שאלון למילוי הגוף-חובה'!$D$37</f>
        <v>6</v>
      </c>
      <c r="I2" s="299" t="str">
        <f>'שאלון למילוי הגוף-חובה'!$C$18&amp;" : "&amp;'שאלון למילוי הגוף-חובה'!$D$18</f>
        <v xml:space="preserve">שם המסגרת : </v>
      </c>
    </row>
    <row r="3" spans="1:26" x14ac:dyDescent="0.25">
      <c r="A3" s="26"/>
      <c r="B3" s="27"/>
      <c r="C3" s="27" t="s">
        <v>146</v>
      </c>
      <c r="D3" s="27"/>
      <c r="E3" s="51"/>
      <c r="F3" s="51"/>
      <c r="G3" s="52"/>
      <c r="I3" s="26" t="s">
        <v>391</v>
      </c>
      <c r="J3" s="27"/>
      <c r="K3" s="27"/>
      <c r="L3" s="28"/>
      <c r="M3" s="27" t="s">
        <v>392</v>
      </c>
      <c r="N3" s="28"/>
      <c r="P3" s="57" t="s">
        <v>393</v>
      </c>
      <c r="Q3" s="27"/>
      <c r="R3" s="27" t="s">
        <v>394</v>
      </c>
      <c r="S3" s="27"/>
      <c r="T3" s="27"/>
      <c r="U3" s="27"/>
      <c r="V3" s="27"/>
      <c r="W3" s="27"/>
      <c r="X3" s="27"/>
      <c r="Y3" s="27"/>
      <c r="Z3" s="28"/>
    </row>
    <row r="4" spans="1:26" ht="73.900000000000006" customHeight="1" x14ac:dyDescent="0.25">
      <c r="A4" s="20" t="s">
        <v>147</v>
      </c>
      <c r="B4" s="29" t="s">
        <v>148</v>
      </c>
      <c r="C4" s="21" t="s">
        <v>149</v>
      </c>
      <c r="D4" s="21" t="s">
        <v>410</v>
      </c>
      <c r="E4" s="20" t="s">
        <v>150</v>
      </c>
      <c r="F4" s="20" t="s">
        <v>151</v>
      </c>
      <c r="G4" s="20" t="s">
        <v>152</v>
      </c>
      <c r="I4" s="30" t="s">
        <v>153</v>
      </c>
      <c r="J4" s="30" t="s">
        <v>154</v>
      </c>
      <c r="K4" s="31" t="s">
        <v>155</v>
      </c>
      <c r="L4" s="21" t="s">
        <v>156</v>
      </c>
      <c r="M4" s="21" t="s">
        <v>157</v>
      </c>
      <c r="N4" s="21" t="s">
        <v>158</v>
      </c>
      <c r="P4" s="103" t="s">
        <v>395</v>
      </c>
      <c r="Q4" s="104" t="s">
        <v>396</v>
      </c>
      <c r="R4" s="105" t="s">
        <v>397</v>
      </c>
      <c r="S4" s="105" t="s">
        <v>398</v>
      </c>
      <c r="T4" s="105" t="s">
        <v>399</v>
      </c>
      <c r="U4" s="106" t="s">
        <v>400</v>
      </c>
      <c r="V4" s="106" t="s">
        <v>401</v>
      </c>
      <c r="W4" s="105" t="s">
        <v>402</v>
      </c>
      <c r="X4" s="105" t="s">
        <v>403</v>
      </c>
      <c r="Y4" s="107" t="s">
        <v>404</v>
      </c>
      <c r="Z4" s="108" t="s">
        <v>405</v>
      </c>
    </row>
    <row r="5" spans="1:26" x14ac:dyDescent="0.25">
      <c r="A5" s="20">
        <v>1.1000000000000001</v>
      </c>
      <c r="B5" s="32" t="s">
        <v>159</v>
      </c>
      <c r="C5" s="21" t="s">
        <v>439</v>
      </c>
      <c r="D5" s="21" t="s">
        <v>453</v>
      </c>
      <c r="E5" s="34">
        <v>3000</v>
      </c>
      <c r="F5" s="53">
        <f>$F$2</f>
        <v>6</v>
      </c>
      <c r="G5" s="34">
        <f>E5*F5</f>
        <v>18000</v>
      </c>
      <c r="I5" s="251"/>
      <c r="J5" s="34">
        <f t="shared" ref="J5:J18" si="0">IF(G5=0,0,I5*E5)</f>
        <v>0</v>
      </c>
      <c r="K5" s="36" t="str">
        <f>IF(F5=0,"",IF(J5=0,"",IF(OR(J5-$G5&gt;0,J5-$G5&lt;0), (J5-$G5)/$G5, "")))</f>
        <v/>
      </c>
      <c r="L5" s="252" t="str">
        <f>IF(I5&gt;F5,"יש להסביר חריגה","")</f>
        <v/>
      </c>
      <c r="M5" s="261"/>
      <c r="N5" s="261"/>
      <c r="P5" s="109"/>
      <c r="Q5" s="110"/>
      <c r="R5" s="111"/>
      <c r="S5" s="112"/>
      <c r="T5" s="113"/>
      <c r="U5" s="114"/>
      <c r="V5" s="115">
        <f>IF(U5="",0,U5-J5)</f>
        <v>0</v>
      </c>
      <c r="W5" s="116">
        <f>IF(U5=0,0,V5/J5)</f>
        <v>0</v>
      </c>
      <c r="X5" s="111"/>
      <c r="Y5" s="107"/>
      <c r="Z5" s="117"/>
    </row>
    <row r="6" spans="1:26" x14ac:dyDescent="0.25">
      <c r="A6" s="20">
        <v>1.2</v>
      </c>
      <c r="B6" s="54"/>
      <c r="C6" s="21" t="s">
        <v>440</v>
      </c>
      <c r="D6" s="21" t="s">
        <v>454</v>
      </c>
      <c r="E6" s="34">
        <v>1200</v>
      </c>
      <c r="F6" s="55">
        <f>$F$1</f>
        <v>5</v>
      </c>
      <c r="G6" s="34">
        <f t="shared" ref="G6:G18" si="1">E6*F6</f>
        <v>6000</v>
      </c>
      <c r="I6" s="251"/>
      <c r="J6" s="34">
        <f t="shared" si="0"/>
        <v>0</v>
      </c>
      <c r="K6" s="36" t="str">
        <f t="shared" ref="K6:K18" si="2">IF(F6=0,"",IF(J6=0,"",IF(OR(J6-$G6&gt;0,J6-$G6&lt;0), (J6-$G6)/$G6, "")))</f>
        <v/>
      </c>
      <c r="L6" s="252" t="str">
        <f t="shared" ref="L6:L18" si="3">IF(I6&gt;F6,"יש להסביר חריגה","")</f>
        <v/>
      </c>
      <c r="M6" s="261"/>
      <c r="N6" s="261"/>
      <c r="P6" s="109"/>
      <c r="Q6" s="110"/>
      <c r="R6" s="111"/>
      <c r="S6" s="112"/>
      <c r="T6" s="113"/>
      <c r="U6" s="114"/>
      <c r="V6" s="115">
        <f t="shared" ref="V6:V19" si="4">IF(U6="",0,U6-J6)</f>
        <v>0</v>
      </c>
      <c r="W6" s="116">
        <f t="shared" ref="W6:W19" si="5">IF(U6=0,0,V6/J6)</f>
        <v>0</v>
      </c>
      <c r="X6" s="111"/>
      <c r="Y6" s="107"/>
      <c r="Z6" s="117"/>
    </row>
    <row r="7" spans="1:26" x14ac:dyDescent="0.25">
      <c r="A7" s="20">
        <v>1.3</v>
      </c>
      <c r="B7" s="54"/>
      <c r="C7" s="21" t="s">
        <v>441</v>
      </c>
      <c r="D7" s="21" t="s">
        <v>442</v>
      </c>
      <c r="E7" s="34">
        <v>600</v>
      </c>
      <c r="F7" s="55">
        <f>$F$1*2</f>
        <v>10</v>
      </c>
      <c r="G7" s="34">
        <f t="shared" ref="G7" si="6">E7*F7</f>
        <v>6000</v>
      </c>
      <c r="I7" s="251"/>
      <c r="J7" s="34">
        <f t="shared" ref="J7" si="7">IF(G7=0,0,I7*E7)</f>
        <v>0</v>
      </c>
      <c r="K7" s="36" t="str">
        <f t="shared" ref="K7" si="8">IF(F7=0,"",IF(J7=0,"",IF(OR(J7-$G7&gt;0,J7-$G7&lt;0), (J7-$G7)/$G7, "")))</f>
        <v/>
      </c>
      <c r="L7" s="252" t="str">
        <f t="shared" ref="L7" si="9">IF(I7&gt;F7,"יש להסביר חריגה","")</f>
        <v/>
      </c>
      <c r="M7" s="261"/>
      <c r="N7" s="261"/>
      <c r="P7" s="109"/>
      <c r="Q7" s="110"/>
      <c r="R7" s="111"/>
      <c r="S7" s="112"/>
      <c r="T7" s="113"/>
      <c r="U7" s="114"/>
      <c r="V7" s="115">
        <f t="shared" ref="V7" si="10">IF(U7="",0,U7-J7)</f>
        <v>0</v>
      </c>
      <c r="W7" s="116">
        <f t="shared" ref="W7" si="11">IF(U7=0,0,V7/J7)</f>
        <v>0</v>
      </c>
      <c r="X7" s="111"/>
      <c r="Y7" s="107"/>
      <c r="Z7" s="117"/>
    </row>
    <row r="8" spans="1:26" x14ac:dyDescent="0.25">
      <c r="A8" s="20">
        <v>1.4</v>
      </c>
      <c r="B8" s="54"/>
      <c r="C8" s="21" t="s">
        <v>452</v>
      </c>
      <c r="D8" s="21" t="s">
        <v>451</v>
      </c>
      <c r="E8" s="34">
        <v>4000</v>
      </c>
      <c r="F8" s="53">
        <f t="shared" ref="F8:F9" si="12">$F$2</f>
        <v>6</v>
      </c>
      <c r="G8" s="34">
        <f t="shared" si="1"/>
        <v>24000</v>
      </c>
      <c r="I8" s="251"/>
      <c r="J8" s="34">
        <f t="shared" si="0"/>
        <v>0</v>
      </c>
      <c r="K8" s="36" t="str">
        <f t="shared" si="2"/>
        <v/>
      </c>
      <c r="L8" s="252" t="str">
        <f t="shared" si="3"/>
        <v/>
      </c>
      <c r="M8" s="261"/>
      <c r="N8" s="261"/>
      <c r="P8" s="109"/>
      <c r="Q8" s="110"/>
      <c r="R8" s="111"/>
      <c r="S8" s="112"/>
      <c r="T8" s="113"/>
      <c r="U8" s="114"/>
      <c r="V8" s="115">
        <f t="shared" si="4"/>
        <v>0</v>
      </c>
      <c r="W8" s="116">
        <f t="shared" si="5"/>
        <v>0</v>
      </c>
      <c r="X8" s="111"/>
      <c r="Y8" s="107"/>
      <c r="Z8" s="117"/>
    </row>
    <row r="9" spans="1:26" x14ac:dyDescent="0.25">
      <c r="A9" s="20">
        <v>1.5</v>
      </c>
      <c r="B9" s="54"/>
      <c r="C9" s="21" t="s">
        <v>443</v>
      </c>
      <c r="D9" s="21" t="s">
        <v>455</v>
      </c>
      <c r="E9" s="34">
        <v>1000</v>
      </c>
      <c r="F9" s="53">
        <f t="shared" si="12"/>
        <v>6</v>
      </c>
      <c r="G9" s="34">
        <f t="shared" si="1"/>
        <v>6000</v>
      </c>
      <c r="I9" s="251"/>
      <c r="J9" s="34">
        <f t="shared" si="0"/>
        <v>0</v>
      </c>
      <c r="K9" s="36" t="str">
        <f t="shared" si="2"/>
        <v/>
      </c>
      <c r="L9" s="252" t="str">
        <f t="shared" si="3"/>
        <v/>
      </c>
      <c r="M9" s="261"/>
      <c r="N9" s="261"/>
      <c r="P9" s="109"/>
      <c r="Q9" s="110"/>
      <c r="R9" s="111"/>
      <c r="S9" s="112"/>
      <c r="T9" s="113"/>
      <c r="U9" s="114"/>
      <c r="V9" s="115">
        <f t="shared" si="4"/>
        <v>0</v>
      </c>
      <c r="W9" s="116">
        <f t="shared" si="5"/>
        <v>0</v>
      </c>
      <c r="X9" s="111"/>
      <c r="Y9" s="107"/>
      <c r="Z9" s="117"/>
    </row>
    <row r="10" spans="1:26" x14ac:dyDescent="0.25">
      <c r="A10" s="20">
        <v>1.6</v>
      </c>
      <c r="B10" s="41" t="s">
        <v>160</v>
      </c>
      <c r="C10" s="21" t="s">
        <v>444</v>
      </c>
      <c r="D10" s="21" t="s">
        <v>457</v>
      </c>
      <c r="E10" s="34">
        <v>3000</v>
      </c>
      <c r="F10" s="55">
        <f>$F$1</f>
        <v>5</v>
      </c>
      <c r="G10" s="34">
        <f t="shared" si="1"/>
        <v>15000</v>
      </c>
      <c r="I10" s="251"/>
      <c r="J10" s="34">
        <f t="shared" si="0"/>
        <v>0</v>
      </c>
      <c r="K10" s="36" t="str">
        <f t="shared" si="2"/>
        <v/>
      </c>
      <c r="L10" s="252" t="str">
        <f t="shared" si="3"/>
        <v/>
      </c>
      <c r="M10" s="261"/>
      <c r="N10" s="261"/>
      <c r="P10" s="109"/>
      <c r="Q10" s="110"/>
      <c r="R10" s="111"/>
      <c r="S10" s="112"/>
      <c r="T10" s="113"/>
      <c r="U10" s="114"/>
      <c r="V10" s="115">
        <f t="shared" si="4"/>
        <v>0</v>
      </c>
      <c r="W10" s="116">
        <f t="shared" si="5"/>
        <v>0</v>
      </c>
      <c r="X10" s="111"/>
      <c r="Y10" s="107"/>
      <c r="Z10" s="117"/>
    </row>
    <row r="11" spans="1:26" x14ac:dyDescent="0.25">
      <c r="A11" s="20">
        <v>1.7</v>
      </c>
      <c r="B11" s="29"/>
      <c r="C11" s="21" t="s">
        <v>161</v>
      </c>
      <c r="D11" s="21"/>
      <c r="E11" s="34">
        <v>400</v>
      </c>
      <c r="F11" s="53">
        <f>$F$2</f>
        <v>6</v>
      </c>
      <c r="G11" s="34">
        <f t="shared" si="1"/>
        <v>2400</v>
      </c>
      <c r="I11" s="251"/>
      <c r="J11" s="34">
        <f t="shared" si="0"/>
        <v>0</v>
      </c>
      <c r="K11" s="36" t="str">
        <f t="shared" si="2"/>
        <v/>
      </c>
      <c r="L11" s="252" t="str">
        <f t="shared" si="3"/>
        <v/>
      </c>
      <c r="M11" s="261"/>
      <c r="N11" s="261"/>
      <c r="P11" s="109"/>
      <c r="Q11" s="110"/>
      <c r="R11" s="111"/>
      <c r="S11" s="112"/>
      <c r="T11" s="113"/>
      <c r="U11" s="114"/>
      <c r="V11" s="115">
        <f t="shared" si="4"/>
        <v>0</v>
      </c>
      <c r="W11" s="116">
        <f t="shared" si="5"/>
        <v>0</v>
      </c>
      <c r="X11" s="111"/>
      <c r="Y11" s="107"/>
      <c r="Z11" s="117"/>
    </row>
    <row r="12" spans="1:26" ht="30" x14ac:dyDescent="0.25">
      <c r="A12" s="20">
        <v>1.8</v>
      </c>
      <c r="B12" s="54" t="s">
        <v>162</v>
      </c>
      <c r="C12" s="21" t="s">
        <v>417</v>
      </c>
      <c r="D12" s="21" t="s">
        <v>50</v>
      </c>
      <c r="E12" s="34">
        <v>5000</v>
      </c>
      <c r="F12" s="55">
        <f t="shared" ref="F12:F16" si="13">$F$1</f>
        <v>5</v>
      </c>
      <c r="G12" s="34">
        <f t="shared" si="1"/>
        <v>25000</v>
      </c>
      <c r="I12" s="251"/>
      <c r="J12" s="34">
        <f t="shared" si="0"/>
        <v>0</v>
      </c>
      <c r="K12" s="36" t="str">
        <f t="shared" si="2"/>
        <v/>
      </c>
      <c r="L12" s="252" t="str">
        <f t="shared" si="3"/>
        <v/>
      </c>
      <c r="M12" s="261"/>
      <c r="N12" s="261"/>
      <c r="P12" s="109"/>
      <c r="Q12" s="110"/>
      <c r="R12" s="111"/>
      <c r="S12" s="112"/>
      <c r="T12" s="113"/>
      <c r="U12" s="114"/>
      <c r="V12" s="115">
        <f t="shared" si="4"/>
        <v>0</v>
      </c>
      <c r="W12" s="116">
        <f t="shared" si="5"/>
        <v>0</v>
      </c>
      <c r="X12" s="111"/>
      <c r="Y12" s="107"/>
      <c r="Z12" s="117"/>
    </row>
    <row r="13" spans="1:26" x14ac:dyDescent="0.25">
      <c r="A13" s="20">
        <v>1.9</v>
      </c>
      <c r="B13" s="54"/>
      <c r="C13" s="21" t="s">
        <v>419</v>
      </c>
      <c r="D13" s="21" t="s">
        <v>456</v>
      </c>
      <c r="E13" s="34">
        <v>3000</v>
      </c>
      <c r="F13" s="55">
        <f t="shared" si="13"/>
        <v>5</v>
      </c>
      <c r="G13" s="34">
        <f t="shared" si="1"/>
        <v>15000</v>
      </c>
      <c r="I13" s="251"/>
      <c r="J13" s="34">
        <f t="shared" si="0"/>
        <v>0</v>
      </c>
      <c r="K13" s="36" t="str">
        <f>IF(F13=0,"",IF(J13=0,"",IF(OR(J13-$G13&gt;0,J13-$G13&lt;0), (J13-$G13)/$G13, "")))</f>
        <v/>
      </c>
      <c r="L13" s="252" t="str">
        <f t="shared" si="3"/>
        <v/>
      </c>
      <c r="M13" s="261"/>
      <c r="N13" s="261"/>
      <c r="P13" s="109"/>
      <c r="Q13" s="110"/>
      <c r="R13" s="111"/>
      <c r="S13" s="112"/>
      <c r="T13" s="113"/>
      <c r="U13" s="114"/>
      <c r="V13" s="115">
        <f t="shared" si="4"/>
        <v>0</v>
      </c>
      <c r="W13" s="116">
        <f t="shared" si="5"/>
        <v>0</v>
      </c>
      <c r="X13" s="111"/>
      <c r="Y13" s="107"/>
      <c r="Z13" s="117"/>
    </row>
    <row r="14" spans="1:26" x14ac:dyDescent="0.25">
      <c r="A14" s="40">
        <v>1.1000000000000001</v>
      </c>
      <c r="B14" s="54"/>
      <c r="C14" s="21" t="s">
        <v>43</v>
      </c>
      <c r="D14" s="21" t="s">
        <v>164</v>
      </c>
      <c r="E14" s="34">
        <v>500</v>
      </c>
      <c r="F14" s="55">
        <f t="shared" si="13"/>
        <v>5</v>
      </c>
      <c r="G14" s="34">
        <f t="shared" si="1"/>
        <v>2500</v>
      </c>
      <c r="I14" s="251"/>
      <c r="J14" s="34">
        <f t="shared" si="0"/>
        <v>0</v>
      </c>
      <c r="K14" s="36" t="str">
        <f t="shared" si="2"/>
        <v/>
      </c>
      <c r="L14" s="252" t="str">
        <f t="shared" si="3"/>
        <v/>
      </c>
      <c r="M14" s="261"/>
      <c r="N14" s="261"/>
      <c r="P14" s="109"/>
      <c r="Q14" s="110"/>
      <c r="R14" s="111"/>
      <c r="S14" s="112"/>
      <c r="T14" s="113"/>
      <c r="U14" s="114"/>
      <c r="V14" s="115">
        <f t="shared" si="4"/>
        <v>0</v>
      </c>
      <c r="W14" s="116">
        <f t="shared" si="5"/>
        <v>0</v>
      </c>
      <c r="X14" s="111"/>
      <c r="Y14" s="107"/>
      <c r="Z14" s="117"/>
    </row>
    <row r="15" spans="1:26" x14ac:dyDescent="0.25">
      <c r="A15" s="40">
        <v>1.1100000000000001</v>
      </c>
      <c r="B15" s="54"/>
      <c r="C15" s="21" t="s">
        <v>321</v>
      </c>
      <c r="D15" s="21" t="s">
        <v>164</v>
      </c>
      <c r="E15" s="34">
        <v>200</v>
      </c>
      <c r="F15" s="55">
        <f t="shared" si="13"/>
        <v>5</v>
      </c>
      <c r="G15" s="34">
        <f t="shared" si="1"/>
        <v>1000</v>
      </c>
      <c r="I15" s="251"/>
      <c r="J15" s="34">
        <f t="shared" si="0"/>
        <v>0</v>
      </c>
      <c r="K15" s="36" t="str">
        <f t="shared" si="2"/>
        <v/>
      </c>
      <c r="L15" s="252" t="str">
        <f t="shared" si="3"/>
        <v/>
      </c>
      <c r="M15" s="261"/>
      <c r="N15" s="261"/>
      <c r="P15" s="109"/>
      <c r="Q15" s="110"/>
      <c r="R15" s="111"/>
      <c r="S15" s="112"/>
      <c r="T15" s="113"/>
      <c r="U15" s="114"/>
      <c r="V15" s="115">
        <f t="shared" si="4"/>
        <v>0</v>
      </c>
      <c r="W15" s="116">
        <f t="shared" si="5"/>
        <v>0</v>
      </c>
      <c r="X15" s="111"/>
      <c r="Y15" s="107"/>
      <c r="Z15" s="117"/>
    </row>
    <row r="16" spans="1:26" ht="30" x14ac:dyDescent="0.25">
      <c r="A16" s="40">
        <v>1.1200000000000001</v>
      </c>
      <c r="B16" s="32" t="s">
        <v>165</v>
      </c>
      <c r="C16" s="21" t="s">
        <v>166</v>
      </c>
      <c r="D16" s="21" t="s">
        <v>478</v>
      </c>
      <c r="E16" s="34">
        <v>1500</v>
      </c>
      <c r="F16" s="55">
        <f t="shared" si="13"/>
        <v>5</v>
      </c>
      <c r="G16" s="34">
        <f t="shared" si="1"/>
        <v>7500</v>
      </c>
      <c r="I16" s="251"/>
      <c r="J16" s="34">
        <f t="shared" si="0"/>
        <v>0</v>
      </c>
      <c r="K16" s="36" t="str">
        <f t="shared" si="2"/>
        <v/>
      </c>
      <c r="L16" s="252" t="str">
        <f t="shared" si="3"/>
        <v/>
      </c>
      <c r="M16" s="261"/>
      <c r="N16" s="261"/>
      <c r="P16" s="109"/>
      <c r="Q16" s="110"/>
      <c r="R16" s="111"/>
      <c r="S16" s="112"/>
      <c r="T16" s="113"/>
      <c r="U16" s="114"/>
      <c r="V16" s="115">
        <f t="shared" si="4"/>
        <v>0</v>
      </c>
      <c r="W16" s="116">
        <f t="shared" si="5"/>
        <v>0</v>
      </c>
      <c r="X16" s="111"/>
      <c r="Y16" s="107"/>
      <c r="Z16" s="117"/>
    </row>
    <row r="17" spans="1:26" ht="30" x14ac:dyDescent="0.25">
      <c r="A17" s="40">
        <v>1.1299999999999999</v>
      </c>
      <c r="B17" s="54"/>
      <c r="C17" s="21" t="s">
        <v>167</v>
      </c>
      <c r="D17" s="56" t="s">
        <v>168</v>
      </c>
      <c r="E17" s="34">
        <v>3000</v>
      </c>
      <c r="F17" s="53">
        <f>$F$2</f>
        <v>6</v>
      </c>
      <c r="G17" s="34">
        <f t="shared" ref="G17" si="14">E17*F17</f>
        <v>18000</v>
      </c>
      <c r="I17" s="251"/>
      <c r="J17" s="34">
        <f t="shared" si="0"/>
        <v>0</v>
      </c>
      <c r="K17" s="36" t="str">
        <f t="shared" si="2"/>
        <v/>
      </c>
      <c r="L17" s="252" t="str">
        <f t="shared" si="3"/>
        <v/>
      </c>
      <c r="M17" s="261"/>
      <c r="N17" s="261"/>
      <c r="P17" s="109"/>
      <c r="Q17" s="110"/>
      <c r="R17" s="111"/>
      <c r="S17" s="112"/>
      <c r="T17" s="113"/>
      <c r="U17" s="114"/>
      <c r="V17" s="115">
        <f t="shared" si="4"/>
        <v>0</v>
      </c>
      <c r="W17" s="116">
        <f t="shared" si="5"/>
        <v>0</v>
      </c>
      <c r="X17" s="111"/>
      <c r="Y17" s="107"/>
      <c r="Z17" s="117"/>
    </row>
    <row r="18" spans="1:26" x14ac:dyDescent="0.25">
      <c r="A18" s="40">
        <v>1.1399999999999999</v>
      </c>
      <c r="B18" s="54"/>
      <c r="C18" s="21" t="s">
        <v>445</v>
      </c>
      <c r="D18" s="56" t="s">
        <v>479</v>
      </c>
      <c r="E18" s="34">
        <v>3000</v>
      </c>
      <c r="F18" s="55">
        <f>$F$1</f>
        <v>5</v>
      </c>
      <c r="G18" s="34">
        <f t="shared" si="1"/>
        <v>15000</v>
      </c>
      <c r="I18" s="251"/>
      <c r="J18" s="34">
        <f t="shared" si="0"/>
        <v>0</v>
      </c>
      <c r="K18" s="36" t="str">
        <f t="shared" si="2"/>
        <v/>
      </c>
      <c r="L18" s="252" t="str">
        <f t="shared" si="3"/>
        <v/>
      </c>
      <c r="M18" s="261"/>
      <c r="N18" s="261"/>
      <c r="P18" s="109"/>
      <c r="Q18" s="110"/>
      <c r="R18" s="111"/>
      <c r="S18" s="112"/>
      <c r="T18" s="113"/>
      <c r="U18" s="114"/>
      <c r="V18" s="115">
        <f t="shared" si="4"/>
        <v>0</v>
      </c>
      <c r="W18" s="116">
        <f t="shared" si="5"/>
        <v>0</v>
      </c>
      <c r="X18" s="111"/>
      <c r="Y18" s="107"/>
      <c r="Z18" s="117"/>
    </row>
    <row r="19" spans="1:26" s="48" customFormat="1" x14ac:dyDescent="0.25">
      <c r="A19" s="219" t="s">
        <v>169</v>
      </c>
      <c r="B19" s="44"/>
      <c r="C19" s="44"/>
      <c r="D19" s="44"/>
      <c r="E19" s="244"/>
      <c r="F19" s="245"/>
      <c r="G19" s="47">
        <f>SUM(G5:G18)</f>
        <v>161400</v>
      </c>
      <c r="I19" s="238"/>
      <c r="J19" s="47">
        <f>SUM(J5:J18)</f>
        <v>0</v>
      </c>
      <c r="K19" s="49" t="str">
        <f t="shared" ref="K19" si="15">IF(J19=0,"",IF(OR(J19-$G19&gt;0,J19-$G19&lt;0), (J19-$G19)/$G19, ""))</f>
        <v/>
      </c>
      <c r="L19" s="148"/>
      <c r="M19" s="148"/>
      <c r="N19" s="148"/>
      <c r="P19" s="47">
        <f>SUM(P5:P18)</f>
        <v>0</v>
      </c>
      <c r="Q19" s="149"/>
      <c r="R19" s="150"/>
      <c r="S19" s="151"/>
      <c r="T19" s="152"/>
      <c r="U19" s="47">
        <f>SUM(U5:U18)</f>
        <v>0</v>
      </c>
      <c r="V19" s="115">
        <f t="shared" si="4"/>
        <v>0</v>
      </c>
      <c r="W19" s="153">
        <f t="shared" si="5"/>
        <v>0</v>
      </c>
      <c r="X19" s="150"/>
      <c r="Y19" s="154"/>
      <c r="Z19" s="155"/>
    </row>
  </sheetData>
  <sheetProtection algorithmName="SHA-512" hashValue="uWhXqTBqfqcOe4FtNT0zCu7JGMwp1i78cnmnI1muaKBbqcs8TpHEs1YJU26SKO5z0nTcFP6lXdifsYFyCnoWfg==" saltValue="Tjj/+fobXBNSuIwfvdp8UQ==" spinCount="100000" sheet="1" formatCells="0" formatColumns="0" formatRows="0"/>
  <dataConsolidate/>
  <conditionalFormatting sqref="K5:K19">
    <cfRule type="cellIs" dxfId="70" priority="11" operator="greaterThan">
      <formula>0</formula>
    </cfRule>
  </conditionalFormatting>
  <conditionalFormatting sqref="L5:L18">
    <cfRule type="cellIs" dxfId="69" priority="1" operator="equal">
      <formula>"יש להסביר חריגה"</formula>
    </cfRule>
    <cfRule type="cellIs" dxfId="68" priority="2" operator="equal">
      <formula>"נא להסביר חריגה"</formula>
    </cfRule>
    <cfRule type="containsText" dxfId="67" priority="3" operator="containsText" text="נא להסביר חריגה כאן">
      <formula>NOT(ISERROR(SEARCH("נא להסביר חריגה כאן",L5)))</formula>
    </cfRule>
  </conditionalFormatting>
  <conditionalFormatting sqref="P5:P18">
    <cfRule type="containsText" dxfId="66" priority="10" operator="containsText" text="נא להסביר חריגה כאן">
      <formula>NOT(ISERROR(SEARCH("נא להסביר חריגה כאן",P5)))</formula>
    </cfRule>
  </conditionalFormatting>
  <conditionalFormatting sqref="V5:W19">
    <cfRule type="cellIs" dxfId="65" priority="9" operator="greaterThan">
      <formula>0</formula>
    </cfRule>
  </conditionalFormatting>
  <dataValidations count="1">
    <dataValidation type="list" allowBlank="1" showInputMessage="1" showErrorMessage="1" sqref="M5:M18">
      <formula1>"מאושר, לא מאושר"</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7"/>
  <sheetViews>
    <sheetView rightToLeft="1" zoomScale="80" zoomScaleNormal="80" workbookViewId="0">
      <pane xSplit="3" ySplit="4" topLeftCell="D41" activePane="bottomRight" state="frozen"/>
      <selection activeCell="C7" sqref="C7"/>
      <selection pane="topRight" activeCell="C7" sqref="C7"/>
      <selection pane="bottomLeft" activeCell="C7" sqref="C7"/>
      <selection pane="bottomRight" activeCell="M6" sqref="M6:M8"/>
    </sheetView>
  </sheetViews>
  <sheetFormatPr defaultColWidth="9" defaultRowHeight="15" outlineLevelCol="1" x14ac:dyDescent="0.25"/>
  <cols>
    <col min="1" max="1" width="6.375" style="23" customWidth="1"/>
    <col min="2" max="2" width="10.75" style="23" customWidth="1"/>
    <col min="3" max="3" width="22.125" style="23" bestFit="1" customWidth="1"/>
    <col min="4" max="4" width="26" style="23" customWidth="1"/>
    <col min="5" max="5" width="10.125" style="23" customWidth="1"/>
    <col min="6" max="6" width="5.75" style="23" customWidth="1"/>
    <col min="7" max="7" width="11.625" style="23" customWidth="1"/>
    <col min="8" max="8" width="2.25" style="23" customWidth="1"/>
    <col min="9" max="9" width="11.125" style="23" customWidth="1"/>
    <col min="10" max="10" width="12.25" style="23" customWidth="1"/>
    <col min="11" max="11" width="9" style="23" bestFit="1" customWidth="1"/>
    <col min="12" max="12" width="13.75" style="23" customWidth="1"/>
    <col min="13" max="13" width="10.75" style="23" customWidth="1"/>
    <col min="14" max="14" width="25.125" style="23" customWidth="1"/>
    <col min="15" max="15" width="2.25" style="23" customWidth="1"/>
    <col min="16" max="16" width="13.75" style="23" hidden="1" customWidth="1" outlineLevel="1"/>
    <col min="17" max="20" width="0" style="23" hidden="1" customWidth="1" outlineLevel="1"/>
    <col min="21" max="21" width="12.125" style="23" hidden="1" customWidth="1" outlineLevel="1"/>
    <col min="22" max="22" width="13.75" style="23" hidden="1" customWidth="1" outlineLevel="1"/>
    <col min="23" max="26" width="0" style="23" hidden="1" customWidth="1" outlineLevel="1"/>
    <col min="27" max="27" width="9" style="23" collapsed="1"/>
    <col min="28" max="16384" width="9" style="23"/>
  </cols>
  <sheetData>
    <row r="1" spans="1:26" s="92" customFormat="1" ht="14.25" customHeight="1" x14ac:dyDescent="0.3">
      <c r="A1" s="9" t="str">
        <f>'תוכן עניינים'!$B$7</f>
        <v>תקן ריהוט וציוד לדיור  קהילתי - גירסה: 07/09/26</v>
      </c>
      <c r="E1" s="83" t="str">
        <f>'שאלון למילוי הגוף-חובה'!C30</f>
        <v>מס' דירות עד 8 דיירים</v>
      </c>
      <c r="F1" s="237">
        <f>'שאלון למילוי הגוף-חובה'!D30</f>
        <v>1</v>
      </c>
      <c r="G1" s="306" t="s">
        <v>170</v>
      </c>
      <c r="I1" s="299" t="str">
        <f>'שאלון למילוי הגוף-חובה'!$C$10&amp;" : "&amp;'שאלון למילוי הגוף-חובה'!$D$10</f>
        <v xml:space="preserve">שם הגוף המבקש : </v>
      </c>
    </row>
    <row r="2" spans="1:26" ht="18.75" x14ac:dyDescent="0.3">
      <c r="A2" s="23">
        <f>'תוכן עניינים'!B15</f>
        <v>2</v>
      </c>
      <c r="B2" s="23" t="str">
        <f>'תוכן עניינים'!C15</f>
        <v>דירה קהלתית: ציוד חללים משותפים (עד 8 דיירים)</v>
      </c>
      <c r="E2" s="78" t="str">
        <f>'שאלון למילוי הגוף-חובה'!C31</f>
        <v>מס' דיירים בדירות עד 8 דיירים</v>
      </c>
      <c r="F2" s="80">
        <f>'שאלון למילוי הגוף-חובה'!D31</f>
        <v>6</v>
      </c>
      <c r="G2" s="101" t="str">
        <f>IF(F1=0,"הגיליון אינו רלוונטי לבקשה",IF(F2/F1&lt;=4,"עד 4",IF(F2/F1&lt;=6,"עד 6",IF(F2/F1&lt;=8,"עד 8","הגיליון אינו רלוונטי לבקשה"))))</f>
        <v>עד 6</v>
      </c>
      <c r="H2" s="48"/>
      <c r="I2" s="299" t="str">
        <f>'שאלון למילוי הגוף-חובה'!$C$18&amp;" : "&amp;'שאלון למילוי הגוף-חובה'!$D$18</f>
        <v xml:space="preserve">שם המסגרת : </v>
      </c>
    </row>
    <row r="3" spans="1:26" x14ac:dyDescent="0.25">
      <c r="A3" s="26"/>
      <c r="B3" s="27"/>
      <c r="C3" s="27" t="s">
        <v>146</v>
      </c>
      <c r="D3" s="27"/>
      <c r="E3" s="51"/>
      <c r="F3" s="51"/>
      <c r="G3" s="28"/>
      <c r="I3" s="26" t="s">
        <v>391</v>
      </c>
      <c r="J3" s="27"/>
      <c r="K3" s="27"/>
      <c r="L3" s="28"/>
      <c r="M3" s="27" t="s">
        <v>392</v>
      </c>
      <c r="N3" s="28"/>
      <c r="P3" s="57" t="s">
        <v>393</v>
      </c>
      <c r="Q3" s="27"/>
      <c r="R3" s="27" t="s">
        <v>394</v>
      </c>
      <c r="S3" s="27"/>
      <c r="T3" s="27"/>
      <c r="U3" s="27"/>
      <c r="V3" s="27"/>
      <c r="W3" s="27"/>
      <c r="X3" s="27"/>
      <c r="Y3" s="27"/>
      <c r="Z3" s="28"/>
    </row>
    <row r="4" spans="1:26" ht="90" x14ac:dyDescent="0.25">
      <c r="A4" s="57" t="s">
        <v>147</v>
      </c>
      <c r="B4" s="29" t="s">
        <v>148</v>
      </c>
      <c r="C4" s="21" t="s">
        <v>149</v>
      </c>
      <c r="D4" s="21" t="s">
        <v>410</v>
      </c>
      <c r="E4" s="21" t="s">
        <v>171</v>
      </c>
      <c r="F4" s="56" t="s">
        <v>172</v>
      </c>
      <c r="G4" s="21" t="s">
        <v>173</v>
      </c>
      <c r="I4" s="30" t="s">
        <v>153</v>
      </c>
      <c r="J4" s="30" t="s">
        <v>154</v>
      </c>
      <c r="K4" s="31" t="s">
        <v>155</v>
      </c>
      <c r="L4" s="21" t="s">
        <v>156</v>
      </c>
      <c r="M4" s="21" t="s">
        <v>157</v>
      </c>
      <c r="N4" s="21" t="s">
        <v>158</v>
      </c>
      <c r="P4" s="103" t="s">
        <v>395</v>
      </c>
      <c r="Q4" s="104" t="s">
        <v>396</v>
      </c>
      <c r="R4" s="105" t="s">
        <v>397</v>
      </c>
      <c r="S4" s="105" t="s">
        <v>398</v>
      </c>
      <c r="T4" s="105" t="s">
        <v>399</v>
      </c>
      <c r="U4" s="106" t="s">
        <v>400</v>
      </c>
      <c r="V4" s="106" t="s">
        <v>401</v>
      </c>
      <c r="W4" s="105" t="s">
        <v>402</v>
      </c>
      <c r="X4" s="105" t="s">
        <v>403</v>
      </c>
      <c r="Y4" s="107" t="s">
        <v>404</v>
      </c>
      <c r="Z4" s="108" t="s">
        <v>405</v>
      </c>
    </row>
    <row r="5" spans="1:26" x14ac:dyDescent="0.25">
      <c r="A5" s="57">
        <v>2.1</v>
      </c>
      <c r="B5" s="66"/>
      <c r="C5" s="44" t="s">
        <v>174</v>
      </c>
      <c r="D5" s="44"/>
      <c r="E5" s="67"/>
      <c r="F5" s="67"/>
      <c r="G5" s="82"/>
      <c r="H5" s="48"/>
      <c r="I5" s="66"/>
      <c r="J5" s="44" t="str">
        <f>C5</f>
        <v>מטבח</v>
      </c>
      <c r="K5" s="94"/>
      <c r="L5" s="44"/>
      <c r="M5" s="44"/>
      <c r="N5" s="69"/>
      <c r="P5" s="249" t="str">
        <f>C5</f>
        <v>מטבח</v>
      </c>
      <c r="Q5" s="156"/>
      <c r="R5" s="157"/>
      <c r="S5" s="158"/>
      <c r="T5" s="159"/>
      <c r="U5" s="160"/>
      <c r="V5" s="161"/>
      <c r="W5" s="162"/>
      <c r="X5" s="157"/>
      <c r="Y5" s="163"/>
      <c r="Z5" s="164"/>
    </row>
    <row r="6" spans="1:26" x14ac:dyDescent="0.25">
      <c r="A6" s="57" t="s">
        <v>175</v>
      </c>
      <c r="B6" s="41" t="s">
        <v>159</v>
      </c>
      <c r="C6" s="56" t="s">
        <v>31</v>
      </c>
      <c r="D6" s="62" t="str">
        <f>IF($G$2=נוסחאות!$B$2,נוסחאות!B15,IF($G$2=נוסחאות!$F$2,נוסחאות!F15,IF($G$2=נוסחאות!$J$2,נוסחאות!J15,0)))</f>
        <v>-</v>
      </c>
      <c r="E6" s="63">
        <f>IF($G$2=נוסחאות!$B$2,נוסחאות!C15,IF($G$2=נוסחאות!$F$2,נוסחאות!G15,IF($G$2=נוסחאות!$J$2,נוסחאות!K15,0)))</f>
        <v>10000</v>
      </c>
      <c r="F6" s="63">
        <f>IF($G$2=נוסחאות!$B$2,נוסחאות!D15*$F$1,IF($G$2=נוסחאות!$F$2,נוסחאות!H15*$F$1,IF($G$2=נוסחאות!$J$2,נוסחאות!L15*$F$1,0)))</f>
        <v>1</v>
      </c>
      <c r="G6" s="64">
        <f t="shared" ref="G6:G20" si="0">F6*E6</f>
        <v>10000</v>
      </c>
      <c r="I6" s="251"/>
      <c r="J6" s="34">
        <f t="shared" ref="J6" si="1">IF(G6=0,0,I6*E6)</f>
        <v>0</v>
      </c>
      <c r="K6" s="36" t="str">
        <f>IF(F6=0,"",IF(J6=0,"",IF(OR(J6-$G6&gt;0,J6-$G6&lt;0), (J6-$G6)/$G6, "")))</f>
        <v/>
      </c>
      <c r="L6" s="252" t="str">
        <f>IF(I6&gt;F6,"יש להסביר חריגה","")</f>
        <v/>
      </c>
      <c r="M6" s="261"/>
      <c r="N6" s="261"/>
      <c r="P6" s="109"/>
      <c r="Q6" s="110"/>
      <c r="R6" s="111"/>
      <c r="S6" s="112"/>
      <c r="T6" s="113"/>
      <c r="U6" s="114"/>
      <c r="V6" s="115">
        <f t="shared" ref="V6:V21" si="2">IF(U6="",0,U6-J6)</f>
        <v>0</v>
      </c>
      <c r="W6" s="116">
        <f t="shared" ref="W6:W21" si="3">IF(U6=0,0,V6/J6)</f>
        <v>0</v>
      </c>
      <c r="X6" s="111"/>
      <c r="Y6" s="107"/>
      <c r="Z6" s="117"/>
    </row>
    <row r="7" spans="1:26" x14ac:dyDescent="0.25">
      <c r="A7" s="57" t="s">
        <v>176</v>
      </c>
      <c r="B7" s="41" t="s">
        <v>177</v>
      </c>
      <c r="C7" s="56" t="s">
        <v>178</v>
      </c>
      <c r="D7" s="62" t="str">
        <f>IF($G$2=נוסחאות!$B$2,נוסחאות!B7,IF($G$2=נוסחאות!$F$2,נוסחאות!F7,IF($G$2=נוסחאות!$J$2,נוסחאות!J7,0)))</f>
        <v>ביתי</v>
      </c>
      <c r="E7" s="63">
        <f>IF($G$2=נוסחאות!$B$2,נוסחאות!C7,IF($G$2=נוסחאות!$F$2,נוסחאות!G7,IF($G$2=נוסחאות!$J$2,נוסחאות!K7,0)))</f>
        <v>8000</v>
      </c>
      <c r="F7" s="63">
        <f>IF($G$2=נוסחאות!$B$2,נוסחאות!D7*$F$1,IF($G$2=נוסחאות!$F$2,נוסחאות!H7*$F$1,IF($G$2=נוסחאות!$J$2,נוסחאות!L7*$F$1,0)))</f>
        <v>1</v>
      </c>
      <c r="G7" s="64">
        <f t="shared" si="0"/>
        <v>8000</v>
      </c>
      <c r="I7" s="251"/>
      <c r="J7" s="34">
        <f t="shared" ref="J7:J20" si="4">IF(G7=0,0,I7*E7)</f>
        <v>0</v>
      </c>
      <c r="K7" s="36" t="str">
        <f t="shared" ref="K7:K57" si="5">IF(J7=0,"",IF(OR(J7-$G7&gt;0,J7-$G7&lt;0), (J7-$G7)/$G7, ""))</f>
        <v/>
      </c>
      <c r="L7" s="252" t="str">
        <f t="shared" ref="L7:L16" si="6">IF(I7&gt;F7,"יש להסביר חריגה","")</f>
        <v/>
      </c>
      <c r="M7" s="261"/>
      <c r="N7" s="261"/>
      <c r="P7" s="109"/>
      <c r="Q7" s="110"/>
      <c r="R7" s="111"/>
      <c r="S7" s="112"/>
      <c r="T7" s="113"/>
      <c r="U7" s="114"/>
      <c r="V7" s="115">
        <f t="shared" si="2"/>
        <v>0</v>
      </c>
      <c r="W7" s="116">
        <f t="shared" si="3"/>
        <v>0</v>
      </c>
      <c r="X7" s="111"/>
      <c r="Y7" s="107"/>
      <c r="Z7" s="117"/>
    </row>
    <row r="8" spans="1:26" x14ac:dyDescent="0.25">
      <c r="A8" s="57" t="s">
        <v>179</v>
      </c>
      <c r="B8" s="42"/>
      <c r="C8" s="56" t="s">
        <v>25</v>
      </c>
      <c r="D8" s="62" t="str">
        <f>IF($G$2=נוסחאות!$B$2,נוסחאות!B6,IF($G$2=נוסחאות!$F$2,נוסחאות!F6,IF($G$2=נוסחאות!$J$2,נוסחאות!J6,0)))</f>
        <v>ביתי</v>
      </c>
      <c r="E8" s="63">
        <f>IF($G$2=נוסחאות!$B$2,נוסחאות!C6,IF($G$2=נוסחאות!$F$2,נוסחאות!G6,IF($G$2=נוסחאות!$J$2,נוסחאות!K6,0)))</f>
        <v>2000</v>
      </c>
      <c r="F8" s="63">
        <f>IF($G$2=נוסחאות!$B$2,נוסחאות!D6*$F$1,IF($G$2=נוסחאות!$F$2,נוסחאות!H6*$F$1,IF($G$2=נוסחאות!$J$2,נוסחאות!L6*$F$1,0)))</f>
        <v>1</v>
      </c>
      <c r="G8" s="64">
        <f t="shared" ref="G8:G9" si="7">F8*E8</f>
        <v>2000</v>
      </c>
      <c r="I8" s="251"/>
      <c r="J8" s="34">
        <f t="shared" si="4"/>
        <v>0</v>
      </c>
      <c r="K8" s="36" t="str">
        <f t="shared" ref="K8" si="8">IF(J8=0,"",IF(OR(J8-$G8&gt;0,J8-$G8&lt;0), (J8-$G8)/$G8, ""))</f>
        <v/>
      </c>
      <c r="L8" s="252" t="str">
        <f t="shared" si="6"/>
        <v/>
      </c>
      <c r="M8" s="261"/>
      <c r="N8" s="261"/>
      <c r="P8" s="109"/>
      <c r="Q8" s="110"/>
      <c r="R8" s="111"/>
      <c r="S8" s="112"/>
      <c r="T8" s="113"/>
      <c r="U8" s="114"/>
      <c r="V8" s="115">
        <f t="shared" si="2"/>
        <v>0</v>
      </c>
      <c r="W8" s="116">
        <f t="shared" si="3"/>
        <v>0</v>
      </c>
      <c r="X8" s="111"/>
      <c r="Y8" s="107"/>
      <c r="Z8" s="117"/>
    </row>
    <row r="9" spans="1:26" x14ac:dyDescent="0.25">
      <c r="A9" s="57" t="s">
        <v>180</v>
      </c>
      <c r="B9" s="42"/>
      <c r="C9" s="56" t="s">
        <v>181</v>
      </c>
      <c r="D9" s="62" t="str">
        <f>IF($G$2=נוסחאות!$B$2,נוסחאות!B16,IF($G$2=נוסחאות!$F$2,נוסחאות!F16,IF($G$2=נוסחאות!$J$2,נוסחאות!J16,0)))</f>
        <v>ביתי</v>
      </c>
      <c r="E9" s="63">
        <f>IF($G$2=נוסחאות!$B$2,נוסחאות!C16,IF($G$2=נוסחאות!$F$2,נוסחאות!G16,IF($G$2=נוסחאות!$J$2,נוסחאות!K16,0)))</f>
        <v>4000</v>
      </c>
      <c r="F9" s="63">
        <f>IF($G$2=נוסחאות!$B$2,נוסחאות!D16*$F$1,IF($G$2=נוסחאות!$F$2,נוסחאות!H16*$F$1,IF($G$2=נוסחאות!$J$2,נוסחאות!L16*$F$1,0)))</f>
        <v>1</v>
      </c>
      <c r="G9" s="64">
        <f t="shared" si="7"/>
        <v>4000</v>
      </c>
      <c r="I9" s="251"/>
      <c r="J9" s="34">
        <f t="shared" si="4"/>
        <v>0</v>
      </c>
      <c r="K9" s="36"/>
      <c r="L9" s="252" t="str">
        <f t="shared" si="6"/>
        <v/>
      </c>
      <c r="M9" s="261"/>
      <c r="N9" s="261"/>
      <c r="P9" s="109"/>
      <c r="Q9" s="110"/>
      <c r="R9" s="111"/>
      <c r="S9" s="112"/>
      <c r="T9" s="113"/>
      <c r="U9" s="114"/>
      <c r="V9" s="115">
        <f t="shared" si="2"/>
        <v>0</v>
      </c>
      <c r="W9" s="116">
        <f t="shared" si="3"/>
        <v>0</v>
      </c>
      <c r="X9" s="111"/>
      <c r="Y9" s="107"/>
      <c r="Z9" s="117"/>
    </row>
    <row r="10" spans="1:26" x14ac:dyDescent="0.25">
      <c r="A10" s="57" t="s">
        <v>182</v>
      </c>
      <c r="B10" s="42"/>
      <c r="C10" s="56" t="s">
        <v>422</v>
      </c>
      <c r="D10" s="62" t="str">
        <f>IF($G$2=נוסחאות!$B$2,נוסחאות!B10,IF($G$2=נוסחאות!$F$2,נוסחאות!F10,IF($G$2=נוסחאות!$J$2,נוסחאות!J10,0)))</f>
        <v>-</v>
      </c>
      <c r="E10" s="63">
        <f>IF($G$2=נוסחאות!$B$2,נוסחאות!C10,IF($G$2=נוסחאות!$F$2,נוסחאות!G10,IF($G$2=נוסחאות!$J$2,נוסחאות!K10,0)))</f>
        <v>4000</v>
      </c>
      <c r="F10" s="63">
        <f>IF($G$2=נוסחאות!$B$2,נוסחאות!D10*$F$1,IF($G$2=נוסחאות!$F$2,נוסחאות!H10*$F$1,IF($G$2=נוסחאות!$J$2,נוסחאות!L10*$F$1,0)))</f>
        <v>1</v>
      </c>
      <c r="G10" s="64">
        <f t="shared" si="0"/>
        <v>4000</v>
      </c>
      <c r="I10" s="251"/>
      <c r="J10" s="34">
        <f t="shared" si="4"/>
        <v>0</v>
      </c>
      <c r="K10" s="36" t="str">
        <f t="shared" si="5"/>
        <v/>
      </c>
      <c r="L10" s="252" t="str">
        <f t="shared" si="6"/>
        <v/>
      </c>
      <c r="M10" s="261"/>
      <c r="N10" s="261"/>
      <c r="P10" s="109"/>
      <c r="Q10" s="110"/>
      <c r="R10" s="111"/>
      <c r="S10" s="112"/>
      <c r="T10" s="113"/>
      <c r="U10" s="114"/>
      <c r="V10" s="115">
        <f t="shared" si="2"/>
        <v>0</v>
      </c>
      <c r="W10" s="116">
        <f t="shared" si="3"/>
        <v>0</v>
      </c>
      <c r="X10" s="111"/>
      <c r="Y10" s="107"/>
      <c r="Z10" s="117"/>
    </row>
    <row r="11" spans="1:26" x14ac:dyDescent="0.25">
      <c r="A11" s="57" t="s">
        <v>183</v>
      </c>
      <c r="B11" s="42"/>
      <c r="C11" s="56" t="s">
        <v>423</v>
      </c>
      <c r="D11" s="62" t="str">
        <f>IF($G$2=נוסחאות!$B$2,נוסחאות!B12,IF($G$2=נוסחאות!$F$2,נוסחאות!F12,IF($G$2=נוסחאות!$J$2,נוסחאות!J12,0)))</f>
        <v>-</v>
      </c>
      <c r="E11" s="63">
        <f>IF($G$2=נוסחאות!$B$2,נוסחאות!C12,IF($G$2=נוסחאות!$F$2,נוסחאות!G12,IF($G$2=נוסחאות!$J$2,נוסחאות!K12,0)))</f>
        <v>6000</v>
      </c>
      <c r="F11" s="63">
        <f>IF($G$2=נוסחאות!$B$2,נוסחאות!D12*$F$1,IF($G$2=נוסחאות!$F$2,נוסחאות!H12*$F$1,IF($G$2=נוסחאות!$J$2,נוסחאות!L12*$F$1,0)))</f>
        <v>1</v>
      </c>
      <c r="G11" s="64">
        <f t="shared" si="0"/>
        <v>6000</v>
      </c>
      <c r="I11" s="251"/>
      <c r="J11" s="34">
        <f t="shared" si="4"/>
        <v>0</v>
      </c>
      <c r="K11" s="36"/>
      <c r="L11" s="252" t="str">
        <f t="shared" si="6"/>
        <v/>
      </c>
      <c r="M11" s="261"/>
      <c r="N11" s="261"/>
      <c r="P11" s="109"/>
      <c r="Q11" s="110"/>
      <c r="R11" s="111"/>
      <c r="S11" s="112"/>
      <c r="T11" s="113"/>
      <c r="U11" s="114"/>
      <c r="V11" s="115">
        <f t="shared" si="2"/>
        <v>0</v>
      </c>
      <c r="W11" s="116">
        <f t="shared" si="3"/>
        <v>0</v>
      </c>
      <c r="X11" s="111"/>
      <c r="Y11" s="107"/>
      <c r="Z11" s="117"/>
    </row>
    <row r="12" spans="1:26" x14ac:dyDescent="0.25">
      <c r="A12" s="57" t="s">
        <v>184</v>
      </c>
      <c r="B12" s="42"/>
      <c r="C12" s="56" t="s">
        <v>466</v>
      </c>
      <c r="D12" s="62" t="str">
        <f>IF($G$2=נוסחאות!$B$2,נוסחאות!B11,IF($G$2=נוסחאות!$F$2,נוסחאות!F11,IF($G$2=נוסחאות!$J$2,נוסחאות!J11,0)))</f>
        <v>-</v>
      </c>
      <c r="E12" s="63">
        <f>IF($G$2=נוסחאות!$B$2,נוסחאות!C11,IF($G$2=נוסחאות!$F$2,נוסחאות!G11,IF($G$2=נוסחאות!$J$2,נוסחאות!K11,0)))</f>
        <v>3000</v>
      </c>
      <c r="F12" s="63">
        <f>IF($G$2=נוסחאות!$B$2,נוסחאות!D11*$F$1,IF($G$2=נוסחאות!$F$2,נוסחאות!H11*$F$1,IF($G$2=נוסחאות!$J$2,נוסחאות!L11*$F$1,0)))</f>
        <v>1</v>
      </c>
      <c r="G12" s="64">
        <f t="shared" ref="G12" si="9">F12*E12</f>
        <v>3000</v>
      </c>
      <c r="I12" s="251"/>
      <c r="J12" s="34">
        <f t="shared" ref="J12" si="10">IF(G12=0,0,I12*E12)</f>
        <v>0</v>
      </c>
      <c r="K12" s="36"/>
      <c r="L12" s="252" t="str">
        <f t="shared" ref="L12" si="11">IF(I12&gt;F12,"יש להסביר חריגה","")</f>
        <v/>
      </c>
      <c r="M12" s="261"/>
      <c r="N12" s="261"/>
      <c r="P12" s="109"/>
      <c r="Q12" s="110"/>
      <c r="R12" s="111"/>
      <c r="S12" s="112"/>
      <c r="T12" s="113"/>
      <c r="U12" s="114"/>
      <c r="V12" s="115">
        <f t="shared" ref="V12" si="12">IF(U12="",0,U12-J12)</f>
        <v>0</v>
      </c>
      <c r="W12" s="116">
        <f t="shared" ref="W12" si="13">IF(U12=0,0,V12/J12)</f>
        <v>0</v>
      </c>
      <c r="X12" s="111"/>
      <c r="Y12" s="107"/>
      <c r="Z12" s="117"/>
    </row>
    <row r="13" spans="1:26" x14ac:dyDescent="0.25">
      <c r="A13" s="57" t="s">
        <v>185</v>
      </c>
      <c r="B13" s="42"/>
      <c r="C13" s="56" t="s">
        <v>416</v>
      </c>
      <c r="D13" s="62" t="str">
        <f>IF($G$2=נוסחאות!$B$2,נוסחאות!B14,IF($G$2=נוסחאות!$F$2,נוסחאות!F14,IF($G$2=נוסחאות!$J$2,נוסחאות!J14,0)))</f>
        <v>-</v>
      </c>
      <c r="E13" s="63">
        <f>IF($G$2=נוסחאות!$B$2,נוסחאות!C14,IF($G$2=נוסחאות!$F$2,נוסחאות!G14,IF($G$2=נוסחאות!$J$2,נוסחאות!K14,0)))</f>
        <v>4000</v>
      </c>
      <c r="F13" s="63">
        <f>IF($G$2=נוסחאות!$B$2,נוסחאות!D14*$F$1,IF($G$2=נוסחאות!$F$2,נוסחאות!H14*$F$1,IF($G$2=נוסחאות!$J$2,נוסחאות!L14*$F$1,0)))</f>
        <v>1</v>
      </c>
      <c r="G13" s="64">
        <f t="shared" ref="G13" si="14">F13*E13</f>
        <v>4000</v>
      </c>
      <c r="I13" s="251"/>
      <c r="J13" s="34">
        <f t="shared" si="4"/>
        <v>0</v>
      </c>
      <c r="K13" s="36"/>
      <c r="L13" s="252" t="str">
        <f t="shared" si="6"/>
        <v/>
      </c>
      <c r="M13" s="261"/>
      <c r="N13" s="261"/>
      <c r="P13" s="109"/>
      <c r="Q13" s="110"/>
      <c r="R13" s="111"/>
      <c r="S13" s="112"/>
      <c r="T13" s="113"/>
      <c r="U13" s="114"/>
      <c r="V13" s="115">
        <f t="shared" si="2"/>
        <v>0</v>
      </c>
      <c r="W13" s="116">
        <f t="shared" si="3"/>
        <v>0</v>
      </c>
      <c r="X13" s="111"/>
      <c r="Y13" s="107"/>
      <c r="Z13" s="117"/>
    </row>
    <row r="14" spans="1:26" x14ac:dyDescent="0.25">
      <c r="A14" s="57" t="s">
        <v>186</v>
      </c>
      <c r="B14" s="42"/>
      <c r="C14" s="56" t="s">
        <v>24</v>
      </c>
      <c r="D14" s="62" t="str">
        <f>IF($G$2=נוסחאות!$B$2,נוסחאות!B5,IF($G$2=נוסחאות!$F$2,נוסחאות!F5,IF($G$2=נוסחאות!$J$2,נוסחאות!J5,0)))</f>
        <v>ביתי</v>
      </c>
      <c r="E14" s="63">
        <f>IF($G$2=נוסחאות!$B$2,נוסחאות!C5,IF($G$2=נוסחאות!$F$2,נוסחאות!G5,IF($G$2=נוסחאות!$J$2,נוסחאות!K5,0)))</f>
        <v>2000</v>
      </c>
      <c r="F14" s="63">
        <f>IF($G$2=נוסחאות!$B$2,נוסחאות!D5*$F$1,IF($G$2=נוסחאות!$F$2,נוסחאות!H5*$F$1,IF($G$2=נוסחאות!$J$2,נוסחאות!L5*$F$1,0)))</f>
        <v>1</v>
      </c>
      <c r="G14" s="64">
        <f t="shared" ref="G14:G15" si="15">F14*E14</f>
        <v>2000</v>
      </c>
      <c r="I14" s="251"/>
      <c r="J14" s="34">
        <f t="shared" si="4"/>
        <v>0</v>
      </c>
      <c r="K14" s="36" t="str">
        <f t="shared" ref="K14" si="16">IF(J14=0,"",IF(OR(J14-$G14&gt;0,J14-$G14&lt;0), (J14-$G14)/$G14, ""))</f>
        <v/>
      </c>
      <c r="L14" s="252" t="str">
        <f t="shared" si="6"/>
        <v/>
      </c>
      <c r="M14" s="261"/>
      <c r="N14" s="261"/>
      <c r="P14" s="109"/>
      <c r="Q14" s="110"/>
      <c r="R14" s="111"/>
      <c r="S14" s="112"/>
      <c r="T14" s="113"/>
      <c r="U14" s="114"/>
      <c r="V14" s="115">
        <f t="shared" si="2"/>
        <v>0</v>
      </c>
      <c r="W14" s="116">
        <f t="shared" si="3"/>
        <v>0</v>
      </c>
      <c r="X14" s="111"/>
      <c r="Y14" s="107"/>
      <c r="Z14" s="117"/>
    </row>
    <row r="15" spans="1:26" x14ac:dyDescent="0.25">
      <c r="A15" s="57" t="s">
        <v>187</v>
      </c>
      <c r="B15" s="42"/>
      <c r="C15" s="56" t="s">
        <v>424</v>
      </c>
      <c r="D15" s="62" t="str">
        <f>IF($G$2=נוסחאות!$B$2,נוסחאות!B17,IF($G$2=נוסחאות!$F$2,נוסחאות!F17,IF($G$2=נוסחאות!$J$2,נוסחאות!J17,0)))</f>
        <v>-</v>
      </c>
      <c r="E15" s="63">
        <f>IF($G$2=נוסחאות!$B$2,נוסחאות!C17,IF($G$2=נוסחאות!$F$2,נוסחאות!G17,IF($G$2=נוסחאות!$J$2,נוסחאות!K17,0)))</f>
        <v>1500</v>
      </c>
      <c r="F15" s="63">
        <f>IF($G$2=נוסחאות!$B$2,נוסחאות!D17*$F$1,IF($G$2=נוסחאות!$F$2,נוסחאות!H17*$F$1,IF($G$2=נוסחאות!$J$2,נוסחאות!L17*$F$1,0)))</f>
        <v>1</v>
      </c>
      <c r="G15" s="64">
        <f t="shared" si="15"/>
        <v>1500</v>
      </c>
      <c r="I15" s="251"/>
      <c r="J15" s="34">
        <f t="shared" si="4"/>
        <v>0</v>
      </c>
      <c r="K15" s="36"/>
      <c r="L15" s="252" t="str">
        <f t="shared" si="6"/>
        <v/>
      </c>
      <c r="M15" s="261"/>
      <c r="N15" s="261"/>
      <c r="P15" s="109"/>
      <c r="Q15" s="110"/>
      <c r="R15" s="111"/>
      <c r="S15" s="112"/>
      <c r="T15" s="113"/>
      <c r="U15" s="114"/>
      <c r="V15" s="115">
        <f t="shared" si="2"/>
        <v>0</v>
      </c>
      <c r="W15" s="116">
        <f t="shared" si="3"/>
        <v>0</v>
      </c>
      <c r="X15" s="111"/>
      <c r="Y15" s="107"/>
      <c r="Z15" s="117"/>
    </row>
    <row r="16" spans="1:26" x14ac:dyDescent="0.25">
      <c r="A16" s="57" t="s">
        <v>188</v>
      </c>
      <c r="B16" s="42"/>
      <c r="C16" s="56" t="s">
        <v>251</v>
      </c>
      <c r="D16" s="62" t="str">
        <f>IF($G$2=נוסחאות!$B$2,נוסחאות!B18,IF($G$2=נוסחאות!$F$2,נוסחאות!F18,IF($G$2=נוסחאות!$J$2,נוסחאות!J18,0)))</f>
        <v>מכשיר לטיגון/ בישול ללא שמן</v>
      </c>
      <c r="E16" s="63">
        <f>IF($G$2=נוסחאות!$B$2,נוסחאות!C18,IF($G$2=נוסחאות!$F$2,נוסחאות!G18,IF($G$2=נוסחאות!$J$2,נוסחאות!K18,0)))</f>
        <v>1500</v>
      </c>
      <c r="F16" s="63">
        <f>IF($G$2=נוסחאות!$B$2,נוסחאות!D18*$F$1,IF($G$2=נוסחאות!$F$2,נוסחאות!H18*$F$1,IF($G$2=נוסחאות!$J$2,נוסחאות!L18*$F$1,0)))</f>
        <v>1</v>
      </c>
      <c r="G16" s="64">
        <f t="shared" si="0"/>
        <v>1500</v>
      </c>
      <c r="I16" s="251"/>
      <c r="J16" s="34">
        <f t="shared" si="4"/>
        <v>0</v>
      </c>
      <c r="K16" s="36"/>
      <c r="L16" s="252" t="str">
        <f t="shared" si="6"/>
        <v/>
      </c>
      <c r="M16" s="261"/>
      <c r="N16" s="261"/>
      <c r="P16" s="109"/>
      <c r="Q16" s="110"/>
      <c r="R16" s="111"/>
      <c r="S16" s="112"/>
      <c r="T16" s="113"/>
      <c r="U16" s="114"/>
      <c r="V16" s="115">
        <f t="shared" si="2"/>
        <v>0</v>
      </c>
      <c r="W16" s="116">
        <f t="shared" si="3"/>
        <v>0</v>
      </c>
      <c r="X16" s="111"/>
      <c r="Y16" s="107"/>
      <c r="Z16" s="117"/>
    </row>
    <row r="17" spans="1:27" x14ac:dyDescent="0.25">
      <c r="A17" s="57" t="s">
        <v>189</v>
      </c>
      <c r="B17" s="42"/>
      <c r="C17" s="56" t="s">
        <v>30</v>
      </c>
      <c r="D17" s="62" t="str">
        <f>IF($G$2=נוסחאות!$B$2,נוסחאות!B13,IF($G$2=נוסחאות!$F$2,נוסחאות!F13,IF($G$2=נוסחאות!$J$2,נוסחאות!J13,0)))</f>
        <v>מיחם ביתי</v>
      </c>
      <c r="E17" s="63">
        <f>IF($G$2=נוסחאות!$B$2,נוסחאות!C13,IF($G$2=נוסחאות!$F$2,נוסחאות!G13,IF($G$2=נוסחאות!$J$2,נוסחאות!K13,0)))</f>
        <v>500</v>
      </c>
      <c r="F17" s="63">
        <f>IF($G$2=נוסחאות!$B$2,נוסחאות!D13*$F$1,IF($G$2=נוסחאות!$F$2,נוסחאות!H13*$F$1,IF($G$2=נוסחאות!$J$2,נוסחאות!L13*$F$1,0)))</f>
        <v>1</v>
      </c>
      <c r="G17" s="64">
        <f t="shared" ref="G17" si="17">F17*E17</f>
        <v>500</v>
      </c>
      <c r="I17" s="251"/>
      <c r="J17" s="34">
        <f t="shared" si="4"/>
        <v>0</v>
      </c>
      <c r="K17" s="36" t="str">
        <f t="shared" ref="K17" si="18">IF(J17=0,"",IF(OR(J17-$G17&gt;0,J17-$G17&lt;0), (J17-$G17)/$G17, ""))</f>
        <v/>
      </c>
      <c r="L17" s="252" t="str">
        <f>IF(I17&gt;F17,"יש להסביר חריגה","")</f>
        <v/>
      </c>
      <c r="M17" s="261"/>
      <c r="N17" s="261"/>
      <c r="P17" s="109"/>
      <c r="Q17" s="110"/>
      <c r="R17" s="111"/>
      <c r="S17" s="112"/>
      <c r="T17" s="113"/>
      <c r="U17" s="114"/>
      <c r="V17" s="115">
        <f t="shared" si="2"/>
        <v>0</v>
      </c>
      <c r="W17" s="116">
        <f t="shared" si="3"/>
        <v>0</v>
      </c>
      <c r="X17" s="111"/>
      <c r="Y17" s="107"/>
      <c r="Z17" s="117"/>
    </row>
    <row r="18" spans="1:27" x14ac:dyDescent="0.25">
      <c r="A18" s="57" t="s">
        <v>190</v>
      </c>
      <c r="B18" s="42"/>
      <c r="C18" s="56" t="s">
        <v>27</v>
      </c>
      <c r="D18" s="62" t="str">
        <f>IF($G$2=נוסחאות!$B$2,נוסחאות!B8,IF($G$2=נוסחאות!$F$2,נוסחאות!F8,IF($G$2=נוסחאות!$J$2,נוסחאות!J8,0)))</f>
        <v>-</v>
      </c>
      <c r="E18" s="63">
        <f>IF($G$2=נוסחאות!$B$2,נוסחאות!C8,IF($G$2=נוסחאות!$F$2,נוסחאות!G8,IF($G$2=נוסחאות!$J$2,נוסחאות!K8,0)))</f>
        <v>200</v>
      </c>
      <c r="F18" s="63">
        <f>IF($G$2=נוסחאות!$B$2,נוסחאות!D8*$F$1,IF($G$2=נוסחאות!$F$2,נוסחאות!H8*$F$1,IF($G$2=נוסחאות!$J$2,נוסחאות!L8*$F$1,0)))</f>
        <v>1</v>
      </c>
      <c r="G18" s="64">
        <f t="shared" ref="G18" si="19">F18*E18</f>
        <v>200</v>
      </c>
      <c r="I18" s="251"/>
      <c r="J18" s="34">
        <f t="shared" si="4"/>
        <v>0</v>
      </c>
      <c r="K18" s="36" t="str">
        <f t="shared" ref="K18" si="20">IF(J18=0,"",IF(OR(J18-$G18&gt;0,J18-$G18&lt;0), (J18-$G18)/$G18, ""))</f>
        <v/>
      </c>
      <c r="L18" s="252" t="str">
        <f t="shared" ref="L18:L20" si="21">IF(I18&gt;F18,"יש להסביר חריגה","")</f>
        <v/>
      </c>
      <c r="M18" s="261"/>
      <c r="N18" s="261"/>
      <c r="P18" s="109"/>
      <c r="Q18" s="110"/>
      <c r="R18" s="111"/>
      <c r="S18" s="112"/>
      <c r="T18" s="113"/>
      <c r="U18" s="114"/>
      <c r="V18" s="115">
        <f t="shared" si="2"/>
        <v>0</v>
      </c>
      <c r="W18" s="116">
        <f t="shared" si="3"/>
        <v>0</v>
      </c>
      <c r="X18" s="111"/>
      <c r="Y18" s="107"/>
      <c r="Z18" s="117"/>
    </row>
    <row r="19" spans="1:27" x14ac:dyDescent="0.25">
      <c r="A19" s="57" t="s">
        <v>191</v>
      </c>
      <c r="B19" s="42"/>
      <c r="C19" s="56" t="s">
        <v>28</v>
      </c>
      <c r="D19" s="62" t="str">
        <f>IF($G$2=נוסחאות!$B$2,נוסחאות!B9,IF($G$2=נוסחאות!$F$2,נוסחאות!F9,IF($G$2=נוסחאות!$J$2,נוסחאות!J9,0)))</f>
        <v>-</v>
      </c>
      <c r="E19" s="63">
        <f>IF($G$2=נוסחאות!$B$2,נוסחאות!C9,IF($G$2=נוסחאות!$F$2,נוסחאות!G9,IF($G$2=נוסחאות!$J$2,נוסחאות!K9,0)))</f>
        <v>300</v>
      </c>
      <c r="F19" s="63">
        <f>IF($G$2=נוסחאות!$B$2,נוסחאות!D9*$F$1,IF($G$2=נוסחאות!$F$2,נוסחאות!H9*$F$1,IF($G$2=נוסחאות!$J$2,נוסחאות!L9*$F$1,0)))</f>
        <v>1</v>
      </c>
      <c r="G19" s="64">
        <f t="shared" ref="G19" si="22">F19*E19</f>
        <v>300</v>
      </c>
      <c r="I19" s="251"/>
      <c r="J19" s="34">
        <f t="shared" si="4"/>
        <v>0</v>
      </c>
      <c r="K19" s="36" t="str">
        <f t="shared" ref="K19" si="23">IF(J19=0,"",IF(OR(J19-$G19&gt;0,J19-$G19&lt;0), (J19-$G19)/$G19, ""))</f>
        <v/>
      </c>
      <c r="L19" s="252" t="str">
        <f t="shared" si="21"/>
        <v/>
      </c>
      <c r="M19" s="261"/>
      <c r="N19" s="261"/>
      <c r="P19" s="109"/>
      <c r="Q19" s="110"/>
      <c r="R19" s="111"/>
      <c r="S19" s="112"/>
      <c r="T19" s="113"/>
      <c r="U19" s="114"/>
      <c r="V19" s="115">
        <f t="shared" si="2"/>
        <v>0</v>
      </c>
      <c r="W19" s="116">
        <f t="shared" si="3"/>
        <v>0</v>
      </c>
      <c r="X19" s="111"/>
      <c r="Y19" s="107"/>
      <c r="Z19" s="117"/>
    </row>
    <row r="20" spans="1:27" ht="30" x14ac:dyDescent="0.25">
      <c r="A20" s="57" t="s">
        <v>193</v>
      </c>
      <c r="B20" s="56" t="s">
        <v>165</v>
      </c>
      <c r="C20" s="56" t="s">
        <v>192</v>
      </c>
      <c r="D20" s="62" t="str">
        <f>IF($G$2=נוסחאות!$B$2,נוסחאות!B4,IF($G$2=נוסחאות!$F$2,נוסחאות!F4,IF($G$2=נוסחאות!$J$2,נוסחאות!J4,0)))</f>
        <v>-</v>
      </c>
      <c r="E20" s="63">
        <f>IF($G$2=נוסחאות!$B$2,נוסחאות!C4,IF($G$2=נוסחאות!$F$2,נוסחאות!G4,IF($G$2=נוסחאות!$J$2,נוסחאות!K4,0)))</f>
        <v>6000</v>
      </c>
      <c r="F20" s="63">
        <f>IF($G$2=נוסחאות!$B$2,נוסחאות!D4*$F$1,IF($G$2=נוסחאות!$F$2,נוסחאות!H4*$F$1,IF($G$2=נוסחאות!$J$2,נוסחאות!L4*$F$1,0)))</f>
        <v>1</v>
      </c>
      <c r="G20" s="64">
        <f t="shared" si="0"/>
        <v>6000</v>
      </c>
      <c r="I20" s="251"/>
      <c r="J20" s="34">
        <f t="shared" si="4"/>
        <v>0</v>
      </c>
      <c r="K20" s="36" t="str">
        <f t="shared" si="5"/>
        <v/>
      </c>
      <c r="L20" s="252" t="str">
        <f t="shared" si="21"/>
        <v/>
      </c>
      <c r="M20" s="261"/>
      <c r="N20" s="261"/>
      <c r="P20" s="109"/>
      <c r="Q20" s="110"/>
      <c r="R20" s="111"/>
      <c r="S20" s="112"/>
      <c r="T20" s="113"/>
      <c r="U20" s="114"/>
      <c r="V20" s="115">
        <f t="shared" si="2"/>
        <v>0</v>
      </c>
      <c r="W20" s="116">
        <f t="shared" si="3"/>
        <v>0</v>
      </c>
      <c r="X20" s="111"/>
      <c r="Y20" s="107"/>
      <c r="Z20" s="117"/>
    </row>
    <row r="21" spans="1:27" s="48" customFormat="1" x14ac:dyDescent="0.25">
      <c r="A21" s="65" t="s">
        <v>465</v>
      </c>
      <c r="B21" s="66" t="s">
        <v>194</v>
      </c>
      <c r="C21" s="44"/>
      <c r="D21" s="58"/>
      <c r="E21" s="67"/>
      <c r="F21" s="82"/>
      <c r="G21" s="68">
        <f>SUM(G6:G20)</f>
        <v>53000</v>
      </c>
      <c r="I21" s="65"/>
      <c r="J21" s="68">
        <f>SUM(J6:J20)</f>
        <v>0</v>
      </c>
      <c r="K21" s="49" t="str">
        <f t="shared" si="5"/>
        <v/>
      </c>
      <c r="L21" s="66" t="str">
        <f>B21</f>
        <v>סה"כ מטבח כולל מע"מ</v>
      </c>
      <c r="M21" s="44"/>
      <c r="N21" s="69"/>
      <c r="P21" s="68">
        <f>SUM(P6:P20)</f>
        <v>0</v>
      </c>
      <c r="Q21" s="149"/>
      <c r="R21" s="150"/>
      <c r="S21" s="151"/>
      <c r="T21" s="152"/>
      <c r="U21" s="68">
        <f>SUM(U6:U20)</f>
        <v>0</v>
      </c>
      <c r="V21" s="115">
        <f t="shared" si="2"/>
        <v>0</v>
      </c>
      <c r="W21" s="116">
        <f t="shared" si="3"/>
        <v>0</v>
      </c>
      <c r="X21" s="150"/>
      <c r="Y21" s="154"/>
      <c r="Z21" s="155"/>
      <c r="AA21" s="23"/>
    </row>
    <row r="22" spans="1:27" s="48" customFormat="1" x14ac:dyDescent="0.25">
      <c r="A22" s="65">
        <v>2.2000000000000002</v>
      </c>
      <c r="B22" s="61"/>
      <c r="C22" s="58" t="s">
        <v>195</v>
      </c>
      <c r="D22" s="58"/>
      <c r="E22" s="59"/>
      <c r="F22" s="81"/>
      <c r="G22" s="60"/>
      <c r="I22" s="61"/>
      <c r="J22" s="58" t="str">
        <f>C22</f>
        <v xml:space="preserve">סלון </v>
      </c>
      <c r="K22" s="70"/>
      <c r="L22" s="58"/>
      <c r="M22" s="58"/>
      <c r="N22" s="71"/>
      <c r="P22" s="249" t="str">
        <f>C22</f>
        <v xml:space="preserve">סלון </v>
      </c>
      <c r="Q22" s="156"/>
      <c r="R22" s="157"/>
      <c r="S22" s="158"/>
      <c r="T22" s="159"/>
      <c r="U22" s="160"/>
      <c r="V22" s="161"/>
      <c r="W22" s="162"/>
      <c r="X22" s="157"/>
      <c r="Y22" s="163"/>
      <c r="Z22" s="164"/>
      <c r="AA22" s="23"/>
    </row>
    <row r="23" spans="1:27" x14ac:dyDescent="0.25">
      <c r="A23" s="57" t="s">
        <v>196</v>
      </c>
      <c r="B23" s="41" t="s">
        <v>159</v>
      </c>
      <c r="C23" s="56" t="s">
        <v>52</v>
      </c>
      <c r="D23" s="62" t="str">
        <f>IF($G$2=נוסחאות!$B$2,נוסחאות!B32,IF($G$2=נוסחאות!$F$2,נוסחאות!F32,IF($G$2=נוסחאות!$J$2,נוסחאות!J32,0)))</f>
        <v>1+2+3</v>
      </c>
      <c r="E23" s="63">
        <f>IF($G$2=נוסחאות!$B$2,נוסחאות!C32,IF($G$2=נוסחאות!$F$2,נוסחאות!G32,IF($G$2=נוסחאות!$J$2,נוסחאות!K32,0)))</f>
        <v>10000</v>
      </c>
      <c r="F23" s="63">
        <f>IF($G$2=נוסחאות!$B$2,נוסחאות!D32*$F$1,IF($G$2=נוסחאות!$F$2,נוסחאות!H32*$F$1,IF($G$2=נוסחאות!$J$2,נוסחאות!L32*$F$1,0)))</f>
        <v>1</v>
      </c>
      <c r="G23" s="64">
        <f t="shared" ref="G23:G27" si="24">F23*E23</f>
        <v>10000</v>
      </c>
      <c r="I23" s="251"/>
      <c r="J23" s="34">
        <f t="shared" ref="J23:J36" si="25">IF(G23=0,0,I23*E23)</f>
        <v>0</v>
      </c>
      <c r="K23" s="36" t="str">
        <f t="shared" si="5"/>
        <v/>
      </c>
      <c r="L23" s="252" t="str">
        <f t="shared" ref="L23:L36" si="26">IF(I23&gt;F23,"יש להסביר חריגה","")</f>
        <v/>
      </c>
      <c r="M23" s="261"/>
      <c r="N23" s="261"/>
      <c r="P23" s="109"/>
      <c r="Q23" s="110"/>
      <c r="R23" s="111"/>
      <c r="S23" s="112"/>
      <c r="T23" s="113"/>
      <c r="U23" s="114"/>
      <c r="V23" s="115">
        <f t="shared" ref="V23:V37" si="27">IF(U23="",0,U23-J23)</f>
        <v>0</v>
      </c>
      <c r="W23" s="116">
        <f t="shared" ref="W23:W27" si="28">IF(U23=0,0,V23/J23)</f>
        <v>0</v>
      </c>
      <c r="X23" s="111"/>
      <c r="Y23" s="107"/>
      <c r="Z23" s="117"/>
    </row>
    <row r="24" spans="1:27" x14ac:dyDescent="0.25">
      <c r="A24" s="57" t="s">
        <v>197</v>
      </c>
      <c r="B24" s="42"/>
      <c r="C24" s="56" t="s">
        <v>198</v>
      </c>
      <c r="D24" s="62" t="str">
        <f>IF($G$2=נוסחאות!$B$2,נוסחאות!B33,IF($G$2=נוסחאות!$F$2,נוסחאות!F33,IF($G$2=נוסחאות!$J$2,נוסחאות!J33,0)))</f>
        <v>-</v>
      </c>
      <c r="E24" s="63">
        <f>IF($G$2=נוסחאות!$B$2,נוסחאות!C33,IF($G$2=נוסחאות!$F$2,נוסחאות!G33,IF($G$2=נוסחאות!$J$2,נוסחאות!K33,0)))</f>
        <v>1200</v>
      </c>
      <c r="F24" s="63">
        <f>IF($G$2=נוסחאות!$B$2,נוסחאות!D33*$F$1,IF($G$2=נוסחאות!$F$2,נוסחאות!H33*$F$1,IF($G$2=נוסחאות!$J$2,נוסחאות!L33*$F$1,0)))</f>
        <v>1</v>
      </c>
      <c r="G24" s="64">
        <f t="shared" si="24"/>
        <v>1200</v>
      </c>
      <c r="I24" s="251"/>
      <c r="J24" s="34">
        <f t="shared" si="25"/>
        <v>0</v>
      </c>
      <c r="K24" s="36" t="str">
        <f t="shared" ref="K24:K34" si="29">IF(J24=0,"",IF(OR(J24-$G24&gt;0,J24-$G24&lt;0), (J24-$G24)/$G24, ""))</f>
        <v/>
      </c>
      <c r="L24" s="252" t="str">
        <f t="shared" si="26"/>
        <v/>
      </c>
      <c r="M24" s="261"/>
      <c r="N24" s="261"/>
      <c r="P24" s="109"/>
      <c r="Q24" s="110"/>
      <c r="R24" s="111"/>
      <c r="S24" s="112"/>
      <c r="T24" s="113"/>
      <c r="U24" s="114"/>
      <c r="V24" s="115">
        <f t="shared" si="27"/>
        <v>0</v>
      </c>
      <c r="W24" s="116">
        <f t="shared" si="28"/>
        <v>0</v>
      </c>
      <c r="X24" s="111"/>
      <c r="Y24" s="107"/>
      <c r="Z24" s="117"/>
    </row>
    <row r="25" spans="1:27" x14ac:dyDescent="0.25">
      <c r="A25" s="57" t="s">
        <v>199</v>
      </c>
      <c r="B25" s="42"/>
      <c r="C25" s="56" t="s">
        <v>429</v>
      </c>
      <c r="D25" s="62" t="str">
        <f>IF($G$2=נוסחאות!$B$2,נוסחאות!B34,IF($G$2=נוסחאות!$F$2,נוסחאות!F34,IF($G$2=נוסחאות!$J$2,נוסחאות!J34,0)))</f>
        <v>-</v>
      </c>
      <c r="E25" s="63">
        <f>IF($G$2=נוסחאות!$B$2,נוסחאות!C34,IF($G$2=נוסחאות!$F$2,נוסחאות!G34,IF($G$2=נוסחאות!$J$2,נוסחאות!K34,0)))</f>
        <v>2000</v>
      </c>
      <c r="F25" s="63">
        <f>IF($G$2=נוסחאות!$B$2,נוסחאות!D34*$F$1,IF($G$2=נוסחאות!$F$2,נוסחאות!H34*$F$1,IF($G$2=נוסחאות!$J$2,נוסחאות!L34*$F$1,0)))</f>
        <v>1</v>
      </c>
      <c r="G25" s="64">
        <f t="shared" si="24"/>
        <v>2000</v>
      </c>
      <c r="I25" s="251"/>
      <c r="J25" s="34">
        <f t="shared" si="25"/>
        <v>0</v>
      </c>
      <c r="K25" s="36" t="str">
        <f t="shared" si="29"/>
        <v/>
      </c>
      <c r="L25" s="252" t="str">
        <f t="shared" si="26"/>
        <v/>
      </c>
      <c r="M25" s="261"/>
      <c r="N25" s="261"/>
      <c r="P25" s="109"/>
      <c r="Q25" s="110"/>
      <c r="R25" s="111"/>
      <c r="S25" s="112"/>
      <c r="T25" s="113"/>
      <c r="U25" s="114"/>
      <c r="V25" s="115">
        <f t="shared" si="27"/>
        <v>0</v>
      </c>
      <c r="W25" s="116">
        <f t="shared" si="28"/>
        <v>0</v>
      </c>
      <c r="X25" s="111"/>
      <c r="Y25" s="107"/>
      <c r="Z25" s="117"/>
    </row>
    <row r="26" spans="1:27" x14ac:dyDescent="0.25">
      <c r="A26" s="57" t="s">
        <v>200</v>
      </c>
      <c r="B26" s="41" t="s">
        <v>160</v>
      </c>
      <c r="C26" s="56" t="s">
        <v>448</v>
      </c>
      <c r="D26" s="62" t="str">
        <f>IF($G$2=נוסחאות!$B$2,נוסחאות!B29,IF($G$2=נוסחאות!$F$2,נוסחאות!F29,IF($G$2=נוסחאות!$J$2,נוסחאות!J29,0)))</f>
        <v xml:space="preserve">  2.5 כ"ס</v>
      </c>
      <c r="E26" s="63">
        <f>IF($G$2=נוסחאות!$B$2,נוסחאות!C29,IF($G$2=נוסחאות!$F$2,נוסחאות!G29,IF($G$2=נוסחאות!$J$2,נוסחאות!K29,0)))</f>
        <v>7000</v>
      </c>
      <c r="F26" s="63">
        <f>IF($G$2=נוסחאות!$B$2,נוסחאות!D29*$F$1,IF($G$2=נוסחאות!$F$2,נוסחאות!H29*$F$1,IF($G$2=נוסחאות!$J$2,נוסחאות!L29*$F$1,0)))</f>
        <v>1</v>
      </c>
      <c r="G26" s="64">
        <f t="shared" si="24"/>
        <v>7000</v>
      </c>
      <c r="I26" s="251"/>
      <c r="J26" s="34">
        <f t="shared" si="25"/>
        <v>0</v>
      </c>
      <c r="K26" s="36" t="str">
        <f t="shared" si="29"/>
        <v/>
      </c>
      <c r="L26" s="252" t="str">
        <f t="shared" si="26"/>
        <v/>
      </c>
      <c r="M26" s="261"/>
      <c r="N26" s="261"/>
      <c r="P26" s="109"/>
      <c r="Q26" s="110"/>
      <c r="R26" s="111"/>
      <c r="S26" s="112"/>
      <c r="T26" s="113"/>
      <c r="U26" s="114"/>
      <c r="V26" s="115">
        <f t="shared" si="27"/>
        <v>0</v>
      </c>
      <c r="W26" s="116">
        <f t="shared" si="28"/>
        <v>0</v>
      </c>
      <c r="X26" s="111"/>
      <c r="Y26" s="107"/>
      <c r="Z26" s="117"/>
    </row>
    <row r="27" spans="1:27" ht="30" x14ac:dyDescent="0.25">
      <c r="A27" s="57" t="s">
        <v>201</v>
      </c>
      <c r="B27" s="41" t="s">
        <v>162</v>
      </c>
      <c r="C27" s="56" t="s">
        <v>419</v>
      </c>
      <c r="D27" s="62" t="str">
        <f>IF($G$2=נוסחאות!$B$2,נוסחאות!B23,IF($G$2=נוסחאות!$F$2,נוסחאות!F23,IF($G$2=נוסחאות!$J$2,נוסחאות!J23,0)))</f>
        <v>גודל לפי צרכי המקום</v>
      </c>
      <c r="E27" s="63">
        <f>IF($G$2=נוסחאות!$B$2,נוסחאות!C23,IF($G$2=נוסחאות!$F$2,נוסחאות!G23,IF($G$2=נוסחאות!$J$2,נוסחאות!K23,0)))</f>
        <v>6000</v>
      </c>
      <c r="F27" s="63">
        <f>IF($G$2=נוסחאות!$B$2,נוסחאות!D23*$F$1,IF($G$2=נוסחאות!$F$2,נוסחאות!H23*$F$1,IF($G$2=נוסחאות!$J$2,נוסחאות!L23*$F$1,0)))</f>
        <v>1</v>
      </c>
      <c r="G27" s="64">
        <f t="shared" si="24"/>
        <v>6000</v>
      </c>
      <c r="I27" s="251"/>
      <c r="J27" s="34">
        <f t="shared" si="25"/>
        <v>0</v>
      </c>
      <c r="K27" s="36" t="str">
        <f t="shared" si="29"/>
        <v/>
      </c>
      <c r="L27" s="252" t="str">
        <f t="shared" si="26"/>
        <v/>
      </c>
      <c r="M27" s="261"/>
      <c r="N27" s="261"/>
      <c r="P27" s="109"/>
      <c r="Q27" s="110"/>
      <c r="R27" s="111"/>
      <c r="S27" s="112"/>
      <c r="T27" s="113"/>
      <c r="U27" s="114"/>
      <c r="V27" s="115">
        <f t="shared" si="27"/>
        <v>0</v>
      </c>
      <c r="W27" s="116">
        <f t="shared" si="28"/>
        <v>0</v>
      </c>
      <c r="X27" s="111"/>
      <c r="Y27" s="107"/>
      <c r="Z27" s="117"/>
    </row>
    <row r="28" spans="1:27" x14ac:dyDescent="0.25">
      <c r="A28" s="57" t="s">
        <v>202</v>
      </c>
      <c r="B28" s="42"/>
      <c r="C28" s="56" t="s">
        <v>436</v>
      </c>
      <c r="D28" s="62" t="str">
        <f>IF($G$2=נוסחאות!$B$2,נוסחאות!B25,IF($G$2=נוסחאות!$F$2,נוסחאות!F25,IF($G$2=נוסחאות!$J$2,נוסחאות!J25,0)))</f>
        <v xml:space="preserve"> באזורים משותפים</v>
      </c>
      <c r="E28" s="63">
        <f>IF($G$2=נוסחאות!$B$2,נוסחאות!C25,IF($G$2=נוסחאות!$F$2,נוסחאות!G25,IF($G$2=נוסחאות!$J$2,נוסחאות!K25,0)))</f>
        <v>3000</v>
      </c>
      <c r="F28" s="63">
        <f>IF($G$2=נוסחאות!$B$2,נוסחאות!D25*$F$1,IF($G$2=נוסחאות!$F$2,נוסחאות!H25*$F$1,IF($G$2=נוסחאות!$J$2,נוסחאות!L25*$F$1,0)))</f>
        <v>3</v>
      </c>
      <c r="G28" s="64">
        <f t="shared" ref="G28:G32" si="30">F28*E28</f>
        <v>9000</v>
      </c>
      <c r="I28" s="251"/>
      <c r="J28" s="34">
        <f t="shared" si="25"/>
        <v>0</v>
      </c>
      <c r="K28" s="36" t="str">
        <f t="shared" ref="K28" si="31">IF(J28=0,"",IF(OR(J28-$G28&gt;0,J28-$G28&lt;0), (J28-$G28)/$G28, ""))</f>
        <v/>
      </c>
      <c r="L28" s="252" t="str">
        <f t="shared" si="26"/>
        <v/>
      </c>
      <c r="M28" s="261"/>
      <c r="N28" s="261"/>
      <c r="P28" s="109"/>
      <c r="Q28" s="110"/>
      <c r="R28" s="111"/>
      <c r="S28" s="112"/>
      <c r="T28" s="113"/>
      <c r="U28" s="114"/>
      <c r="V28" s="115">
        <f t="shared" si="27"/>
        <v>0</v>
      </c>
      <c r="W28" s="116">
        <f t="shared" ref="W28:W37" si="32">IF(U28=0,0,V28/J28)</f>
        <v>0</v>
      </c>
      <c r="X28" s="111"/>
      <c r="Y28" s="107"/>
      <c r="Z28" s="117"/>
    </row>
    <row r="29" spans="1:27" x14ac:dyDescent="0.25">
      <c r="A29" s="57" t="s">
        <v>203</v>
      </c>
      <c r="B29" s="42"/>
      <c r="C29" s="56" t="s">
        <v>43</v>
      </c>
      <c r="D29" s="62" t="str">
        <f>IF($G$2=נוסחאות!$B$2,נוסחאות!B26,IF($G$2=נוסחאות!$F$2,נוסחאות!F26,IF($G$2=נוסחאות!$J$2,נוסחאות!J26,0)))</f>
        <v>לדלת כניסה לדירה</v>
      </c>
      <c r="E29" s="63">
        <f>IF($G$2=נוסחאות!$B$2,נוסחאות!C26,IF($G$2=נוסחאות!$F$2,נוסחאות!G26,IF($G$2=נוסחאות!$J$2,נוסחאות!K26,0)))</f>
        <v>2500</v>
      </c>
      <c r="F29" s="63">
        <f>IF($G$2=נוסחאות!$B$2,נוסחאות!D26*$F$1,IF($G$2=נוסחאות!$F$2,נוסחאות!H26*$F$1,IF($G$2=נוסחאות!$J$2,נוסחאות!L26*$F$1,0)))</f>
        <v>1</v>
      </c>
      <c r="G29" s="64">
        <f t="shared" si="30"/>
        <v>2500</v>
      </c>
      <c r="I29" s="251"/>
      <c r="J29" s="34">
        <f t="shared" si="25"/>
        <v>0</v>
      </c>
      <c r="K29" s="36" t="str">
        <f t="shared" si="29"/>
        <v/>
      </c>
      <c r="L29" s="252" t="str">
        <f t="shared" si="26"/>
        <v/>
      </c>
      <c r="M29" s="261"/>
      <c r="N29" s="261"/>
      <c r="P29" s="109"/>
      <c r="Q29" s="110"/>
      <c r="R29" s="111"/>
      <c r="S29" s="112"/>
      <c r="T29" s="113"/>
      <c r="U29" s="114"/>
      <c r="V29" s="115">
        <f t="shared" si="27"/>
        <v>0</v>
      </c>
      <c r="W29" s="116">
        <f t="shared" si="32"/>
        <v>0</v>
      </c>
      <c r="X29" s="111"/>
      <c r="Y29" s="107"/>
      <c r="Z29" s="117"/>
    </row>
    <row r="30" spans="1:27" x14ac:dyDescent="0.25">
      <c r="A30" s="57" t="s">
        <v>204</v>
      </c>
      <c r="B30" s="42"/>
      <c r="C30" s="56" t="s">
        <v>45</v>
      </c>
      <c r="D30" s="62" t="str">
        <f>IF($G$2=נוסחאות!$B$2,נוסחאות!B27,IF($G$2=נוסחאות!$F$2,נוסחאות!F27,IF($G$2=נוסחאות!$J$2,נוסחאות!J27,0)))</f>
        <v>-</v>
      </c>
      <c r="E30" s="63">
        <f>IF($G$2=נוסחאות!$B$2,נוסחאות!C27,IF($G$2=נוסחאות!$F$2,נוסחאות!G27,IF($G$2=נוסחאות!$J$2,נוסחאות!K27,0)))</f>
        <v>500</v>
      </c>
      <c r="F30" s="63">
        <f>IF($G$2=נוסחאות!$B$2,נוסחאות!D27*$F$1,IF($G$2=נוסחאות!$F$2,נוסחאות!H27*$F$1,IF($G$2=נוסחאות!$J$2,נוסחאות!L27*$F$1,0)))</f>
        <v>1</v>
      </c>
      <c r="G30" s="64">
        <f t="shared" ref="G30" si="33">F30*E30</f>
        <v>500</v>
      </c>
      <c r="I30" s="251"/>
      <c r="J30" s="34">
        <f t="shared" si="25"/>
        <v>0</v>
      </c>
      <c r="K30" s="36" t="str">
        <f t="shared" ref="K30" si="34">IF(J30=0,"",IF(OR(J30-$G30&gt;0,J30-$G30&lt;0), (J30-$G30)/$G30, ""))</f>
        <v/>
      </c>
      <c r="L30" s="252" t="str">
        <f t="shared" si="26"/>
        <v/>
      </c>
      <c r="M30" s="261"/>
      <c r="N30" s="261"/>
      <c r="P30" s="109"/>
      <c r="Q30" s="110"/>
      <c r="R30" s="111"/>
      <c r="S30" s="112"/>
      <c r="T30" s="113"/>
      <c r="U30" s="114"/>
      <c r="V30" s="115">
        <f t="shared" si="27"/>
        <v>0</v>
      </c>
      <c r="W30" s="116">
        <f t="shared" si="32"/>
        <v>0</v>
      </c>
      <c r="X30" s="111"/>
      <c r="Y30" s="107"/>
      <c r="Z30" s="117"/>
    </row>
    <row r="31" spans="1:27" x14ac:dyDescent="0.25">
      <c r="A31" s="57" t="s">
        <v>205</v>
      </c>
      <c r="B31" s="42"/>
      <c r="C31" s="56" t="s">
        <v>321</v>
      </c>
      <c r="D31" s="62" t="str">
        <f>IF($G$2=נוסחאות!$B$2,נוסחאות!B28,IF($G$2=נוסחאות!$F$2,נוסחאות!F28,IF($G$2=נוסחאות!$J$2,נוסחאות!J28,0)))</f>
        <v>מאושר ע"י מת"י</v>
      </c>
      <c r="E31" s="63">
        <f>IF($G$2=נוסחאות!$B$2,נוסחאות!C28,IF($G$2=נוסחאות!$F$2,נוסחאות!G28,IF($G$2=נוסחאות!$J$2,נוסחאות!K28,0)))</f>
        <v>400</v>
      </c>
      <c r="F31" s="63">
        <f>IF($G$2=נוסחאות!$B$2,נוסחאות!D28*$F$1,IF($G$2=נוסחאות!$F$2,נוסחאות!H28*$F$1,IF($G$2=נוסחאות!$J$2,נוסחאות!L28*$F$1,0)))</f>
        <v>3</v>
      </c>
      <c r="G31" s="64">
        <f t="shared" si="30"/>
        <v>1200</v>
      </c>
      <c r="I31" s="251"/>
      <c r="J31" s="34">
        <f t="shared" si="25"/>
        <v>0</v>
      </c>
      <c r="K31" s="36" t="str">
        <f t="shared" si="29"/>
        <v/>
      </c>
      <c r="L31" s="252" t="str">
        <f t="shared" si="26"/>
        <v/>
      </c>
      <c r="M31" s="261"/>
      <c r="N31" s="261"/>
      <c r="P31" s="109"/>
      <c r="Q31" s="110"/>
      <c r="R31" s="111"/>
      <c r="S31" s="112"/>
      <c r="T31" s="113"/>
      <c r="U31" s="114"/>
      <c r="V31" s="115">
        <f t="shared" si="27"/>
        <v>0</v>
      </c>
      <c r="W31" s="116">
        <f t="shared" si="32"/>
        <v>0</v>
      </c>
      <c r="X31" s="111"/>
      <c r="Y31" s="107"/>
      <c r="Z31" s="117"/>
    </row>
    <row r="32" spans="1:27" x14ac:dyDescent="0.25">
      <c r="A32" s="57" t="s">
        <v>206</v>
      </c>
      <c r="B32" s="42"/>
      <c r="C32" s="56" t="s">
        <v>41</v>
      </c>
      <c r="D32" s="62" t="str">
        <f>IF($G$2=נוסחאות!$B$2,נוסחאות!B24,IF($G$2=נוסחאות!$F$2,נוסחאות!F24,IF($G$2=נוסחאות!$J$2,נוסחאות!J24,0)))</f>
        <v>-</v>
      </c>
      <c r="E32" s="63">
        <f>IF($G$2=נוסחאות!$B$2,נוסחאות!C24,IF($G$2=נוסחאות!$F$2,נוסחאות!G24,IF($G$2=נוסחאות!$J$2,נוסחאות!K24,0)))</f>
        <v>1500</v>
      </c>
      <c r="F32" s="63">
        <f>IF($G$2=נוסחאות!$B$2,נוסחאות!D24*$F$1,IF($G$2=נוסחאות!$F$2,נוסחאות!H24*$F$1,IF($G$2=נוסחאות!$J$2,נוסחאות!L24*$F$1,0)))</f>
        <v>1</v>
      </c>
      <c r="G32" s="64">
        <f t="shared" si="30"/>
        <v>1500</v>
      </c>
      <c r="I32" s="251"/>
      <c r="J32" s="34">
        <f t="shared" si="25"/>
        <v>0</v>
      </c>
      <c r="K32" s="36" t="str">
        <f t="shared" si="29"/>
        <v/>
      </c>
      <c r="L32" s="252" t="str">
        <f t="shared" si="26"/>
        <v/>
      </c>
      <c r="M32" s="261"/>
      <c r="N32" s="261"/>
      <c r="P32" s="109"/>
      <c r="Q32" s="110"/>
      <c r="R32" s="111"/>
      <c r="S32" s="112"/>
      <c r="T32" s="113"/>
      <c r="U32" s="114"/>
      <c r="V32" s="115">
        <f t="shared" si="27"/>
        <v>0</v>
      </c>
      <c r="W32" s="116">
        <f t="shared" si="32"/>
        <v>0</v>
      </c>
      <c r="X32" s="111"/>
      <c r="Y32" s="107"/>
      <c r="Z32" s="117"/>
    </row>
    <row r="33" spans="1:26" x14ac:dyDescent="0.25">
      <c r="A33" s="57" t="s">
        <v>207</v>
      </c>
      <c r="B33" s="42"/>
      <c r="C33" s="56" t="s">
        <v>49</v>
      </c>
      <c r="D33" s="62" t="str">
        <f>IF($G$2=נוסחאות!$B$2,נוסחאות!B30,IF($G$2=נוסחאות!$F$2,נוסחאות!F30,IF($G$2=נוסחאות!$J$2,נוסחאות!J30,0)))</f>
        <v>נייח או נייד לפי הצורך</v>
      </c>
      <c r="E33" s="63">
        <f>IF($G$2=נוסחאות!$B$2,נוסחאות!C30,IF($G$2=נוסחאות!$F$2,נוסחאות!G30,IF($G$2=נוסחאות!$J$2,נוסחאות!K30,0)))</f>
        <v>5000</v>
      </c>
      <c r="F33" s="63">
        <f>IF($G$2=נוסחאות!$B$2,נוסחאות!D30*$F$1,IF($G$2=נוסחאות!$F$2,נוסחאות!H30*$F$1,IF($G$2=נוסחאות!$J$2,נוסחאות!L30*$F$1,0)))</f>
        <v>1</v>
      </c>
      <c r="G33" s="64">
        <f t="shared" ref="G33:G36" si="35">F33*E33</f>
        <v>5000</v>
      </c>
      <c r="I33" s="251"/>
      <c r="J33" s="34">
        <f t="shared" si="25"/>
        <v>0</v>
      </c>
      <c r="K33" s="36" t="str">
        <f t="shared" si="29"/>
        <v/>
      </c>
      <c r="L33" s="252" t="str">
        <f t="shared" si="26"/>
        <v/>
      </c>
      <c r="M33" s="261"/>
      <c r="N33" s="261"/>
      <c r="P33" s="109"/>
      <c r="Q33" s="110"/>
      <c r="R33" s="111"/>
      <c r="S33" s="112"/>
      <c r="T33" s="113"/>
      <c r="U33" s="114"/>
      <c r="V33" s="115">
        <f t="shared" si="27"/>
        <v>0</v>
      </c>
      <c r="W33" s="116">
        <f t="shared" si="32"/>
        <v>0</v>
      </c>
      <c r="X33" s="111"/>
      <c r="Y33" s="107"/>
      <c r="Z33" s="117"/>
    </row>
    <row r="34" spans="1:26" x14ac:dyDescent="0.25">
      <c r="A34" s="57" t="s">
        <v>208</v>
      </c>
      <c r="B34" s="42"/>
      <c r="C34" s="56" t="s">
        <v>51</v>
      </c>
      <c r="D34" s="62" t="str">
        <f>IF($G$2=נוסחאות!$B$2,נוסחאות!B31,IF($G$2=נוסחאות!$F$2,נוסחאות!F31,IF($G$2=נוסחאות!$J$2,נוסחאות!J31,0)))</f>
        <v>ביתית</v>
      </c>
      <c r="E34" s="63">
        <f>IF($G$2=נוסחאות!$B$2,נוסחאות!C31,IF($G$2=נוסחאות!$F$2,נוסחאות!G31,IF($G$2=נוסחאות!$J$2,נוסחאות!K31,0)))</f>
        <v>1000</v>
      </c>
      <c r="F34" s="63">
        <f>IF($G$2=נוסחאות!$B$2,נוסחאות!D31*$F$1,IF($G$2=נוסחאות!$F$2,נוסחאות!H31*$F$1,IF($G$2=נוסחאות!$J$2,נוסחאות!L31*$F$1,0)))</f>
        <v>1</v>
      </c>
      <c r="G34" s="64">
        <f t="shared" si="35"/>
        <v>1000</v>
      </c>
      <c r="I34" s="251"/>
      <c r="J34" s="34">
        <f t="shared" si="25"/>
        <v>0</v>
      </c>
      <c r="K34" s="36" t="str">
        <f t="shared" si="29"/>
        <v/>
      </c>
      <c r="L34" s="252" t="str">
        <f t="shared" si="26"/>
        <v/>
      </c>
      <c r="M34" s="261"/>
      <c r="N34" s="261"/>
      <c r="P34" s="109"/>
      <c r="Q34" s="110"/>
      <c r="R34" s="111"/>
      <c r="S34" s="112"/>
      <c r="T34" s="113"/>
      <c r="U34" s="114"/>
      <c r="V34" s="115">
        <f t="shared" si="27"/>
        <v>0</v>
      </c>
      <c r="W34" s="116">
        <f t="shared" si="32"/>
        <v>0</v>
      </c>
      <c r="X34" s="111"/>
      <c r="Y34" s="107"/>
      <c r="Z34" s="117"/>
    </row>
    <row r="35" spans="1:26" x14ac:dyDescent="0.25">
      <c r="A35" s="57" t="s">
        <v>209</v>
      </c>
      <c r="B35" s="41" t="s">
        <v>210</v>
      </c>
      <c r="C35" s="56" t="s">
        <v>166</v>
      </c>
      <c r="D35" s="62" t="str">
        <f>IF($G$2=נוסחאות!$B$2,נוסחאות!B22,IF($G$2=נוסחאות!$F$2,נוסחאות!F22,IF($G$2=נוסחאות!$J$2,נוסחאות!J22,0)))</f>
        <v xml:space="preserve">עלות לחלון בחדר דירה </v>
      </c>
      <c r="E35" s="63">
        <f>IF($G$2=נוסחאות!$B$2,נוסחאות!C22,IF($G$2=נוסחאות!$F$2,נוסחאות!G22,IF($G$2=נוסחאות!$J$2,נוסחאות!K22,0)))</f>
        <v>1500</v>
      </c>
      <c r="F35" s="63">
        <f>IF($G$2=נוסחאות!$B$2,נוסחאות!D22*$F$1,IF($G$2=נוסחאות!$F$2,נוסחאות!H22*$F$1,IF($G$2=נוסחאות!$J$2,נוסחאות!L22*$F$1,0)))</f>
        <v>2</v>
      </c>
      <c r="G35" s="64">
        <f t="shared" ref="G35" si="36">F35*E35</f>
        <v>3000</v>
      </c>
      <c r="I35" s="251"/>
      <c r="J35" s="34">
        <f t="shared" si="25"/>
        <v>0</v>
      </c>
      <c r="K35" s="36" t="str">
        <f t="shared" si="5"/>
        <v/>
      </c>
      <c r="L35" s="252" t="str">
        <f t="shared" si="26"/>
        <v/>
      </c>
      <c r="M35" s="261"/>
      <c r="N35" s="261"/>
      <c r="P35" s="109"/>
      <c r="Q35" s="110"/>
      <c r="R35" s="111"/>
      <c r="S35" s="112"/>
      <c r="T35" s="113"/>
      <c r="U35" s="114"/>
      <c r="V35" s="115">
        <f t="shared" si="27"/>
        <v>0</v>
      </c>
      <c r="W35" s="116">
        <f t="shared" si="32"/>
        <v>0</v>
      </c>
      <c r="X35" s="111"/>
      <c r="Y35" s="107"/>
      <c r="Z35" s="117"/>
    </row>
    <row r="36" spans="1:26" x14ac:dyDescent="0.25">
      <c r="A36" s="57" t="s">
        <v>211</v>
      </c>
      <c r="B36" s="43" t="s">
        <v>212</v>
      </c>
      <c r="C36" s="56" t="s">
        <v>445</v>
      </c>
      <c r="D36" s="62" t="str">
        <f>IF($G$2=נוסחאות!$B$2,נוסחאות!B35,IF($G$2=נוסחאות!$F$2,נוסחאות!F35,IF($G$2=נוסחאות!$J$2,נוסחאות!J35,0)))</f>
        <v>אביזרים לסלון בית מגורים</v>
      </c>
      <c r="E36" s="63">
        <f>IF($G$2=נוסחאות!$B$2,נוסחאות!C35,IF($G$2=נוסחאות!$F$2,נוסחאות!G35,IF($G$2=נוסחאות!$J$2,נוסחאות!K35,0)))</f>
        <v>3000</v>
      </c>
      <c r="F36" s="63">
        <f>IF($G$2=נוסחאות!$B$2,נוסחאות!D35*$F$1,IF($G$2=נוסחאות!$F$2,נוסחאות!H35*$F$1,IF($G$2=נוסחאות!$J$2,נוסחאות!L35*$F$1,0)))</f>
        <v>1</v>
      </c>
      <c r="G36" s="64">
        <f t="shared" si="35"/>
        <v>3000</v>
      </c>
      <c r="I36" s="251"/>
      <c r="J36" s="34">
        <f t="shared" si="25"/>
        <v>0</v>
      </c>
      <c r="K36" s="36" t="str">
        <f t="shared" si="5"/>
        <v/>
      </c>
      <c r="L36" s="252" t="str">
        <f t="shared" si="26"/>
        <v/>
      </c>
      <c r="M36" s="261"/>
      <c r="N36" s="261"/>
      <c r="P36" s="109"/>
      <c r="Q36" s="110"/>
      <c r="R36" s="111"/>
      <c r="S36" s="112"/>
      <c r="T36" s="113"/>
      <c r="U36" s="114"/>
      <c r="V36" s="115">
        <f t="shared" si="27"/>
        <v>0</v>
      </c>
      <c r="W36" s="116">
        <f t="shared" si="32"/>
        <v>0</v>
      </c>
      <c r="X36" s="111"/>
      <c r="Y36" s="107"/>
      <c r="Z36" s="117"/>
    </row>
    <row r="37" spans="1:26" s="48" customFormat="1" x14ac:dyDescent="0.25">
      <c r="A37" s="65" t="s">
        <v>213</v>
      </c>
      <c r="B37" s="44" t="s">
        <v>214</v>
      </c>
      <c r="C37" s="44"/>
      <c r="D37" s="71"/>
      <c r="E37" s="68"/>
      <c r="F37" s="68"/>
      <c r="G37" s="68">
        <f>SUM(G23:G36)</f>
        <v>52900</v>
      </c>
      <c r="I37" s="65"/>
      <c r="J37" s="68">
        <f>SUM(J23:J36)</f>
        <v>0</v>
      </c>
      <c r="K37" s="49" t="str">
        <f t="shared" si="5"/>
        <v/>
      </c>
      <c r="L37" s="66" t="str">
        <f>B37</f>
        <v>סה"כ סלון כולל מע"מ</v>
      </c>
      <c r="M37" s="44"/>
      <c r="N37" s="69"/>
      <c r="P37" s="68">
        <f>SUM(P23:P36)</f>
        <v>0</v>
      </c>
      <c r="Q37" s="149"/>
      <c r="R37" s="150"/>
      <c r="S37" s="151"/>
      <c r="T37" s="152"/>
      <c r="U37" s="68">
        <f>SUM(U23:U36)</f>
        <v>0</v>
      </c>
      <c r="V37" s="115">
        <f t="shared" si="27"/>
        <v>0</v>
      </c>
      <c r="W37" s="116">
        <f t="shared" si="32"/>
        <v>0</v>
      </c>
      <c r="X37" s="150"/>
      <c r="Y37" s="154"/>
      <c r="Z37" s="155"/>
    </row>
    <row r="38" spans="1:26" s="48" customFormat="1" x14ac:dyDescent="0.25">
      <c r="A38" s="65">
        <v>2.2999999999999998</v>
      </c>
      <c r="B38" s="66"/>
      <c r="C38" s="44" t="s">
        <v>215</v>
      </c>
      <c r="D38" s="44"/>
      <c r="E38" s="67"/>
      <c r="F38" s="67"/>
      <c r="G38" s="82"/>
      <c r="I38" s="66"/>
      <c r="J38" s="44" t="str">
        <f>C38</f>
        <v xml:space="preserve">ציוד כללי </v>
      </c>
      <c r="K38" s="94"/>
      <c r="L38" s="44"/>
      <c r="M38" s="44"/>
      <c r="N38" s="69"/>
      <c r="P38" s="249" t="str">
        <f>C38</f>
        <v xml:space="preserve">ציוד כללי </v>
      </c>
      <c r="Q38" s="156"/>
      <c r="R38" s="157"/>
      <c r="S38" s="158"/>
      <c r="T38" s="159"/>
      <c r="U38" s="160"/>
      <c r="V38" s="161"/>
      <c r="W38" s="162"/>
      <c r="X38" s="157"/>
      <c r="Y38" s="163"/>
      <c r="Z38" s="164"/>
    </row>
    <row r="39" spans="1:26" x14ac:dyDescent="0.25">
      <c r="A39" s="57" t="s">
        <v>216</v>
      </c>
      <c r="B39" s="41" t="s">
        <v>217</v>
      </c>
      <c r="C39" s="56" t="s">
        <v>59</v>
      </c>
      <c r="D39" s="62" t="str">
        <f>IF($G$2=נוסחאות!$B$2,נוסחאות!B43,IF($G$2=נוסחאות!$F$2,נוסחאות!F43,IF($G$2=נוסחאות!$J$2,נוסחאות!J43,0)))</f>
        <v>-</v>
      </c>
      <c r="E39" s="63">
        <f>IF($G$2=נוסחאות!$B$2,נוסחאות!C43,IF($G$2=נוסחאות!$F$2,נוסחאות!G43,IF($G$2=נוסחאות!$J$2,נוסחאות!K43,0)))</f>
        <v>5000</v>
      </c>
      <c r="F39" s="63">
        <f>IF($G$2=נוסחאות!$B$2,נוסחאות!D43*$F$1,IF($G$2=נוסחאות!$F$2,נוסחאות!H43*$F$1,IF($G$2=נוסחאות!$J$2,נוסחאות!L43*$F$1,0)))</f>
        <v>1</v>
      </c>
      <c r="G39" s="64">
        <f t="shared" ref="G39:G51" si="37">F39*E39</f>
        <v>5000</v>
      </c>
      <c r="I39" s="251"/>
      <c r="J39" s="34">
        <f t="shared" ref="J39:J51" si="38">IF(G39=0,0,I39*E39)</f>
        <v>0</v>
      </c>
      <c r="K39" s="36" t="str">
        <f t="shared" si="5"/>
        <v/>
      </c>
      <c r="L39" s="252" t="str">
        <f t="shared" ref="L39:L51" si="39">IF(I39&gt;F39,"יש להסביר חריגה","")</f>
        <v/>
      </c>
      <c r="M39" s="261"/>
      <c r="N39" s="261"/>
      <c r="P39" s="109"/>
      <c r="Q39" s="110"/>
      <c r="R39" s="111"/>
      <c r="S39" s="112"/>
      <c r="T39" s="113"/>
      <c r="U39" s="114"/>
      <c r="V39" s="115">
        <f t="shared" ref="V39:V42" si="40">IF(U39="",0,U39-J39)</f>
        <v>0</v>
      </c>
      <c r="W39" s="116">
        <f t="shared" ref="W39:W42" si="41">IF(U39=0,0,V39/J39)</f>
        <v>0</v>
      </c>
      <c r="X39" s="111"/>
      <c r="Y39" s="107"/>
      <c r="Z39" s="117"/>
    </row>
    <row r="40" spans="1:26" x14ac:dyDescent="0.25">
      <c r="A40" s="57" t="s">
        <v>218</v>
      </c>
      <c r="B40" s="42"/>
      <c r="C40" s="56" t="s">
        <v>58</v>
      </c>
      <c r="D40" s="62" t="str">
        <f>IF($G$2=נוסחאות!$B$2,נוסחאות!B40,IF($G$2=נוסחאות!$F$2,נוסחאות!F40,IF($G$2=נוסחאות!$J$2,נוסחאות!J40,0)))</f>
        <v>-</v>
      </c>
      <c r="E40" s="63">
        <f>IF($G$2=נוסחאות!$B$2,נוסחאות!C40,IF($G$2=נוסחאות!$F$2,נוסחאות!G40,IF($G$2=נוסחאות!$J$2,נוסחאות!K40,0)))</f>
        <v>5000</v>
      </c>
      <c r="F40" s="63">
        <f>IF($G$2=נוסחאות!$B$2,נוסחאות!D40*$F$1,IF($G$2=נוסחאות!$F$2,נוסחאות!H40*$F$1,IF($G$2=נוסחאות!$J$2,נוסחאות!L40*$F$1,0)))</f>
        <v>1</v>
      </c>
      <c r="G40" s="64">
        <f t="shared" ref="G40:G42" si="42">F40*E40</f>
        <v>5000</v>
      </c>
      <c r="I40" s="251"/>
      <c r="J40" s="34">
        <f t="shared" si="38"/>
        <v>0</v>
      </c>
      <c r="K40" s="36" t="str">
        <f t="shared" ref="K40:K42" si="43">IF(J40=0,"",IF(OR(J40-$G40&gt;0,J40-$G40&lt;0), (J40-$G40)/$G40, ""))</f>
        <v/>
      </c>
      <c r="L40" s="252" t="str">
        <f t="shared" si="39"/>
        <v/>
      </c>
      <c r="M40" s="261"/>
      <c r="N40" s="261"/>
      <c r="P40" s="109"/>
      <c r="Q40" s="110"/>
      <c r="R40" s="111"/>
      <c r="S40" s="112"/>
      <c r="T40" s="113"/>
      <c r="U40" s="114"/>
      <c r="V40" s="115">
        <f t="shared" si="40"/>
        <v>0</v>
      </c>
      <c r="W40" s="116">
        <f t="shared" si="41"/>
        <v>0</v>
      </c>
      <c r="X40" s="111"/>
      <c r="Y40" s="107"/>
      <c r="Z40" s="117"/>
    </row>
    <row r="41" spans="1:26" x14ac:dyDescent="0.25">
      <c r="A41" s="57" t="s">
        <v>219</v>
      </c>
      <c r="B41" s="42"/>
      <c r="C41" s="56" t="s">
        <v>431</v>
      </c>
      <c r="D41" s="62" t="str">
        <f>IF($G$2=נוסחאות!$B$2,נוסחאות!B41,IF($G$2=נוסחאות!$F$2,נוסחאות!F41,IF($G$2=נוסחאות!$J$2,נוסחאות!J41,0)))</f>
        <v>-</v>
      </c>
      <c r="E41" s="63">
        <f>IF($G$2=נוסחאות!$B$2,נוסחאות!C41,IF($G$2=נוסחאות!$F$2,נוסחאות!G41,IF($G$2=נוסחאות!$J$2,נוסחאות!K41,0)))</f>
        <v>5000</v>
      </c>
      <c r="F41" s="63">
        <f>IF($G$2=נוסחאות!$B$2,נוסחאות!D41*$F$1,IF($G$2=נוסחאות!$F$2,נוסחאות!H41*$F$1,IF($G$2=נוסחאות!$J$2,נוסחאות!L41*$F$1,0)))</f>
        <v>1</v>
      </c>
      <c r="G41" s="64">
        <f t="shared" si="42"/>
        <v>5000</v>
      </c>
      <c r="I41" s="251"/>
      <c r="J41" s="34">
        <f t="shared" si="38"/>
        <v>0</v>
      </c>
      <c r="K41" s="36"/>
      <c r="L41" s="252" t="str">
        <f t="shared" si="39"/>
        <v/>
      </c>
      <c r="M41" s="261"/>
      <c r="N41" s="261"/>
      <c r="P41" s="109"/>
      <c r="Q41" s="110"/>
      <c r="R41" s="111"/>
      <c r="S41" s="112"/>
      <c r="T41" s="113"/>
      <c r="U41" s="114"/>
      <c r="V41" s="115">
        <f t="shared" si="40"/>
        <v>0</v>
      </c>
      <c r="W41" s="116">
        <f t="shared" si="41"/>
        <v>0</v>
      </c>
      <c r="X41" s="111"/>
      <c r="Y41" s="107"/>
      <c r="Z41" s="117"/>
    </row>
    <row r="42" spans="1:26" x14ac:dyDescent="0.25">
      <c r="A42" s="57" t="s">
        <v>220</v>
      </c>
      <c r="B42" s="42"/>
      <c r="C42" s="56" t="s">
        <v>435</v>
      </c>
      <c r="D42" s="62" t="str">
        <f>IF($G$2=נוסחאות!$B$2,נוסחאות!B42,IF($G$2=נוסחאות!$F$2,נוסחאות!F42,IF($G$2=נוסחאות!$J$2,נוסחאות!J42,0)))</f>
        <v>שואב אבק ידני</v>
      </c>
      <c r="E42" s="63">
        <f>IF($G$2=נוסחאות!$B$2,נוסחאות!C42,IF($G$2=נוסחאות!$F$2,נוסחאות!G42,IF($G$2=נוסחאות!$J$2,נוסחאות!K42,0)))</f>
        <v>2000</v>
      </c>
      <c r="F42" s="63">
        <f>IF($G$2=נוסחאות!$B$2,נוסחאות!D42*$F$1,IF($G$2=נוסחאות!$F$2,נוסחאות!H42*$F$1,IF($G$2=נוסחאות!$J$2,נוסחאות!L42*$F$1,0)))</f>
        <v>1</v>
      </c>
      <c r="G42" s="64">
        <f t="shared" si="42"/>
        <v>2000</v>
      </c>
      <c r="I42" s="251"/>
      <c r="J42" s="34">
        <f t="shared" si="38"/>
        <v>0</v>
      </c>
      <c r="K42" s="36" t="str">
        <f t="shared" si="43"/>
        <v/>
      </c>
      <c r="L42" s="252" t="str">
        <f t="shared" si="39"/>
        <v/>
      </c>
      <c r="M42" s="261"/>
      <c r="N42" s="261"/>
      <c r="P42" s="109"/>
      <c r="Q42" s="110"/>
      <c r="R42" s="111"/>
      <c r="S42" s="112"/>
      <c r="T42" s="113"/>
      <c r="U42" s="114"/>
      <c r="V42" s="115">
        <f t="shared" si="40"/>
        <v>0</v>
      </c>
      <c r="W42" s="116">
        <f t="shared" si="41"/>
        <v>0</v>
      </c>
      <c r="X42" s="111"/>
      <c r="Y42" s="107"/>
      <c r="Z42" s="117"/>
    </row>
    <row r="43" spans="1:26" x14ac:dyDescent="0.25">
      <c r="A43" s="57" t="s">
        <v>221</v>
      </c>
      <c r="B43" s="42"/>
      <c r="C43" s="56" t="s">
        <v>57</v>
      </c>
      <c r="D43" s="62" t="str">
        <f>IF($G$2=נוסחאות!$B$2,נוסחאות!B39,IF($G$2=נוסחאות!$F$2,נוסחאות!F39,IF($G$2=נוסחאות!$J$2,נוסחאות!J39,0)))</f>
        <v>-</v>
      </c>
      <c r="E43" s="63">
        <f>IF($G$2=נוסחאות!$B$2,נוסחאות!C39,IF($G$2=נוסחאות!$F$2,נוסחאות!G39,IF($G$2=נוסחאות!$J$2,נוסחאות!K39,0)))</f>
        <v>1000</v>
      </c>
      <c r="F43" s="63">
        <f>IF($G$2=נוסחאות!$B$2,נוסחאות!D39*$F$1,IF($G$2=נוסחאות!$F$2,נוסחאות!H39*$F$1,IF($G$2=נוסחאות!$J$2,נוסחאות!L39*$F$1,0)))</f>
        <v>1</v>
      </c>
      <c r="G43" s="64">
        <f t="shared" ref="G43:G44" si="44">F43*E43</f>
        <v>1000</v>
      </c>
      <c r="I43" s="251"/>
      <c r="J43" s="34">
        <f t="shared" si="38"/>
        <v>0</v>
      </c>
      <c r="K43" s="36" t="str">
        <f t="shared" ref="K43:K44" si="45">IF(J43=0,"",IF(OR(J43-$G43&gt;0,J43-$G43&lt;0), (J43-$G43)/$G43, ""))</f>
        <v/>
      </c>
      <c r="L43" s="252" t="str">
        <f t="shared" si="39"/>
        <v/>
      </c>
      <c r="M43" s="261"/>
      <c r="N43" s="261"/>
      <c r="P43" s="109"/>
      <c r="Q43" s="110"/>
      <c r="R43" s="111"/>
      <c r="S43" s="112"/>
      <c r="T43" s="113"/>
      <c r="U43" s="114"/>
      <c r="V43" s="115">
        <f t="shared" ref="V43:V52" si="46">IF(U43="",0,U43-J43)</f>
        <v>0</v>
      </c>
      <c r="W43" s="116">
        <f t="shared" ref="W43:W56" si="47">IF(U43=0,0,V43/J43)</f>
        <v>0</v>
      </c>
      <c r="X43" s="111"/>
      <c r="Y43" s="107"/>
      <c r="Z43" s="117"/>
    </row>
    <row r="44" spans="1:26" x14ac:dyDescent="0.25">
      <c r="A44" s="57" t="s">
        <v>222</v>
      </c>
      <c r="B44" s="43"/>
      <c r="C44" s="56" t="s">
        <v>63</v>
      </c>
      <c r="D44" s="62" t="str">
        <f>IF($G$2=נוסחאות!$B$2,נוסחאות!B49,IF($G$2=נוסחאות!$F$2,נוסחאות!F49,IF($G$2=נוסחאות!$J$2,נוסחאות!J49,0)))</f>
        <v>-</v>
      </c>
      <c r="E44" s="63">
        <f>IF($G$2=נוסחאות!$B$2,נוסחאות!C49,IF($G$2=נוסחאות!$F$2,נוסחאות!G49,IF($G$2=נוסחאות!$J$2,נוסחאות!K49,0)))</f>
        <v>200</v>
      </c>
      <c r="F44" s="63">
        <f>IF($G$2=נוסחאות!$B$2,נוסחאות!D49*$F$1,IF($G$2=נוסחאות!$F$2,נוסחאות!H49*$F$1,IF($G$2=נוסחאות!$J$2,נוסחאות!L49*$F$1,0)))</f>
        <v>1</v>
      </c>
      <c r="G44" s="64">
        <f t="shared" si="44"/>
        <v>200</v>
      </c>
      <c r="I44" s="251"/>
      <c r="J44" s="34">
        <f t="shared" si="38"/>
        <v>0</v>
      </c>
      <c r="K44" s="36" t="str">
        <f t="shared" si="45"/>
        <v/>
      </c>
      <c r="L44" s="252" t="str">
        <f t="shared" si="39"/>
        <v/>
      </c>
      <c r="M44" s="261"/>
      <c r="N44" s="261"/>
      <c r="P44" s="109"/>
      <c r="Q44" s="110"/>
      <c r="R44" s="111"/>
      <c r="S44" s="112"/>
      <c r="T44" s="113"/>
      <c r="U44" s="114"/>
      <c r="V44" s="115">
        <f t="shared" si="46"/>
        <v>0</v>
      </c>
      <c r="W44" s="116">
        <f t="shared" si="47"/>
        <v>0</v>
      </c>
      <c r="X44" s="111"/>
      <c r="Y44" s="107"/>
      <c r="Z44" s="117"/>
    </row>
    <row r="45" spans="1:26" ht="30" x14ac:dyDescent="0.25">
      <c r="A45" s="57" t="s">
        <v>223</v>
      </c>
      <c r="B45" s="41" t="s">
        <v>165</v>
      </c>
      <c r="C45" s="56" t="s">
        <v>484</v>
      </c>
      <c r="D45" s="62" t="str">
        <f>IF($G$2=נוסחאות!$B$2,נוסחאות!B44,IF($G$2=נוסחאות!$F$2,נוסחאות!F44,IF($G$2=נוסחאות!$J$2,נוסחאות!J44,0)))</f>
        <v>-</v>
      </c>
      <c r="E45" s="63">
        <f>IF($G$2=נוסחאות!$B$2,נוסחאות!C44,IF($G$2=נוסחאות!$F$2,נוסחאות!G44,IF($G$2=נוסחאות!$J$2,נוסחאות!K44,0)))</f>
        <v>1800</v>
      </c>
      <c r="F45" s="63">
        <f>IF($G$2=נוסחאות!$B$2,נוסחאות!D44*$F$1,IF($G$2=נוסחאות!$F$2,נוסחאות!H44*$F$1,IF($G$2=נוסחאות!$J$2,נוסחאות!L44*$F$1,0)))</f>
        <v>3</v>
      </c>
      <c r="G45" s="64">
        <f t="shared" si="37"/>
        <v>5400</v>
      </c>
      <c r="I45" s="251"/>
      <c r="J45" s="34">
        <f t="shared" si="38"/>
        <v>0</v>
      </c>
      <c r="K45" s="36" t="str">
        <f t="shared" si="5"/>
        <v/>
      </c>
      <c r="L45" s="252" t="str">
        <f t="shared" si="39"/>
        <v/>
      </c>
      <c r="M45" s="261"/>
      <c r="N45" s="261"/>
      <c r="P45" s="109"/>
      <c r="Q45" s="110"/>
      <c r="R45" s="111"/>
      <c r="S45" s="112"/>
      <c r="T45" s="113"/>
      <c r="U45" s="114"/>
      <c r="V45" s="115">
        <f t="shared" si="46"/>
        <v>0</v>
      </c>
      <c r="W45" s="116">
        <f t="shared" si="47"/>
        <v>0</v>
      </c>
      <c r="X45" s="111"/>
      <c r="Y45" s="107"/>
      <c r="Z45" s="117"/>
    </row>
    <row r="46" spans="1:26" x14ac:dyDescent="0.25">
      <c r="A46" s="57" t="s">
        <v>224</v>
      </c>
      <c r="B46" s="42"/>
      <c r="C46" s="56" t="s">
        <v>66</v>
      </c>
      <c r="D46" s="62" t="str">
        <f>IF($G$2=נוסחאות!$B$2,נוסחאות!B50,IF($G$2=נוסחאות!$F$2,נוסחאות!F50,IF($G$2=נוסחאות!$J$2,נוסחאות!J50,0)))</f>
        <v>4 שלבים</v>
      </c>
      <c r="E46" s="63">
        <f>IF($G$2=נוסחאות!$B$2,נוסחאות!C50,IF($G$2=נוסחאות!$F$2,נוסחאות!G50,IF($G$2=נוסחאות!$J$2,נוסחאות!K50,0)))</f>
        <v>1500</v>
      </c>
      <c r="F46" s="63">
        <f>IF($G$2=נוסחאות!$B$2,נוסחאות!D50*$F$1,IF($G$2=נוסחאות!$F$2,נוסחאות!H50*$F$1,IF($G$2=נוסחאות!$J$2,נוסחאות!L50*$F$1,0)))</f>
        <v>1</v>
      </c>
      <c r="G46" s="64">
        <f t="shared" si="37"/>
        <v>1500</v>
      </c>
      <c r="I46" s="251"/>
      <c r="J46" s="34">
        <f t="shared" si="38"/>
        <v>0</v>
      </c>
      <c r="K46" s="36"/>
      <c r="L46" s="252" t="str">
        <f t="shared" si="39"/>
        <v/>
      </c>
      <c r="M46" s="261"/>
      <c r="N46" s="261"/>
      <c r="P46" s="109"/>
      <c r="Q46" s="110"/>
      <c r="R46" s="111"/>
      <c r="S46" s="112"/>
      <c r="T46" s="113"/>
      <c r="U46" s="114"/>
      <c r="V46" s="115">
        <f t="shared" si="46"/>
        <v>0</v>
      </c>
      <c r="W46" s="116">
        <f t="shared" si="47"/>
        <v>0</v>
      </c>
      <c r="X46" s="111"/>
      <c r="Y46" s="107"/>
      <c r="Z46" s="117"/>
    </row>
    <row r="47" spans="1:26" x14ac:dyDescent="0.25">
      <c r="A47" s="57" t="s">
        <v>225</v>
      </c>
      <c r="B47" s="42"/>
      <c r="C47" s="56" t="s">
        <v>60</v>
      </c>
      <c r="D47" s="62" t="str">
        <f>IF($G$2=נוסחאות!$B$2,נוסחאות!B45,IF($G$2=נוסחאות!$F$2,נוסחאות!F45,IF($G$2=נוסחאות!$J$2,נוסחאות!J45,0)))</f>
        <v>ארגז כלים ביתי</v>
      </c>
      <c r="E47" s="63">
        <f>IF($G$2=נוסחאות!$B$2,נוסחאות!C45,IF($G$2=נוסחאות!$F$2,נוסחאות!G45,IF($G$2=נוסחאות!$J$2,נוסחאות!K45,0)))</f>
        <v>1000</v>
      </c>
      <c r="F47" s="63">
        <f>IF($G$2=נוסחאות!$B$2,נוסחאות!D45*$F$1,IF($G$2=נוסחאות!$F$2,נוסחאות!H45*$F$1,IF($G$2=נוסחאות!$J$2,נוסחאות!L45*$F$1,0)))</f>
        <v>1</v>
      </c>
      <c r="G47" s="64">
        <f t="shared" si="37"/>
        <v>1000</v>
      </c>
      <c r="I47" s="251"/>
      <c r="J47" s="34">
        <f t="shared" si="38"/>
        <v>0</v>
      </c>
      <c r="K47" s="36" t="str">
        <f t="shared" si="5"/>
        <v/>
      </c>
      <c r="L47" s="252" t="str">
        <f t="shared" si="39"/>
        <v/>
      </c>
      <c r="M47" s="261"/>
      <c r="N47" s="261"/>
      <c r="P47" s="109"/>
      <c r="Q47" s="110"/>
      <c r="R47" s="111"/>
      <c r="S47" s="112"/>
      <c r="T47" s="113"/>
      <c r="U47" s="114"/>
      <c r="V47" s="115">
        <f t="shared" si="46"/>
        <v>0</v>
      </c>
      <c r="W47" s="116">
        <f t="shared" si="47"/>
        <v>0</v>
      </c>
      <c r="X47" s="111"/>
      <c r="Y47" s="107"/>
      <c r="Z47" s="117"/>
    </row>
    <row r="48" spans="1:26" x14ac:dyDescent="0.25">
      <c r="A48" s="57" t="s">
        <v>226</v>
      </c>
      <c r="B48" s="42"/>
      <c r="C48" s="56" t="s">
        <v>426</v>
      </c>
      <c r="D48" s="62" t="str">
        <f>IF($G$2=נוסחאות!$B$2,נוסחאות!B46,IF($G$2=נוסחאות!$F$2,נוסחאות!F46,IF($G$2=נוסחאות!$J$2,נוסחאות!J46,0)))</f>
        <v>-</v>
      </c>
      <c r="E48" s="63">
        <f>IF($G$2=נוסחאות!$B$2,נוסחאות!C46,IF($G$2=נוסחאות!$F$2,נוסחאות!G46,IF($G$2=נוסחאות!$J$2,נוסחאות!K46,0)))</f>
        <v>1300</v>
      </c>
      <c r="F48" s="63">
        <f>IF($G$2=נוסחאות!$B$2,נוסחאות!D46*$F$1,IF($G$2=נוסחאות!$F$2,נוסחאות!H46*$F$1,IF($G$2=נוסחאות!$J$2,נוסחאות!L46*$F$1,0)))</f>
        <v>1</v>
      </c>
      <c r="G48" s="64">
        <f t="shared" ref="G48" si="48">F48*E48</f>
        <v>1300</v>
      </c>
      <c r="I48" s="251"/>
      <c r="J48" s="34">
        <f t="shared" si="38"/>
        <v>0</v>
      </c>
      <c r="K48" s="36" t="str">
        <f t="shared" ref="K48" si="49">IF(J48=0,"",IF(OR(J48-$G48&gt;0,J48-$G48&lt;0), (J48-$G48)/$G48, ""))</f>
        <v/>
      </c>
      <c r="L48" s="252" t="str">
        <f t="shared" si="39"/>
        <v/>
      </c>
      <c r="M48" s="261"/>
      <c r="N48" s="261"/>
      <c r="P48" s="109"/>
      <c r="Q48" s="110"/>
      <c r="R48" s="111"/>
      <c r="S48" s="112"/>
      <c r="T48" s="113"/>
      <c r="U48" s="114"/>
      <c r="V48" s="115">
        <f t="shared" si="46"/>
        <v>0</v>
      </c>
      <c r="W48" s="116">
        <f t="shared" si="47"/>
        <v>0</v>
      </c>
      <c r="X48" s="111"/>
      <c r="Y48" s="107"/>
      <c r="Z48" s="117"/>
    </row>
    <row r="49" spans="1:26" x14ac:dyDescent="0.25">
      <c r="A49" s="57" t="s">
        <v>227</v>
      </c>
      <c r="B49" s="42"/>
      <c r="C49" s="56" t="s">
        <v>428</v>
      </c>
      <c r="D49" s="62" t="str">
        <f>IF($G$2=נוסחאות!$B$2,נוסחאות!B48,IF($G$2=נוסחאות!$F$2,נוסחאות!F48,IF($G$2=נוסחאות!$J$2,נוסחאות!J48,0)))</f>
        <v>6 ק"ג</v>
      </c>
      <c r="E49" s="63">
        <f>IF($G$2=נוסחאות!$B$2,נוסחאות!C48,IF($G$2=נוסחאות!$F$2,נוסחאות!G48,IF($G$2=נוסחאות!$J$2,נוסחאות!K48,0)))</f>
        <v>500</v>
      </c>
      <c r="F49" s="63">
        <f>IF($G$2=נוסחאות!$B$2,נוסחאות!D48*$F$1,IF($G$2=נוסחאות!$F$2,נוסחאות!H48*$F$1,IF($G$2=נוסחאות!$J$2,נוסחאות!L48*$F$1,0)))</f>
        <v>1</v>
      </c>
      <c r="G49" s="64">
        <f t="shared" ref="G49" si="50">F49*E49</f>
        <v>500</v>
      </c>
      <c r="I49" s="251"/>
      <c r="J49" s="34">
        <f t="shared" si="38"/>
        <v>0</v>
      </c>
      <c r="K49" s="36" t="str">
        <f t="shared" ref="K49" si="51">IF(J49=0,"",IF(OR(J49-$G49&gt;0,J49-$G49&lt;0), (J49-$G49)/$G49, ""))</f>
        <v/>
      </c>
      <c r="L49" s="252" t="str">
        <f t="shared" si="39"/>
        <v/>
      </c>
      <c r="M49" s="261"/>
      <c r="N49" s="261"/>
      <c r="P49" s="109"/>
      <c r="Q49" s="110"/>
      <c r="R49" s="111"/>
      <c r="S49" s="112"/>
      <c r="T49" s="113"/>
      <c r="U49" s="114"/>
      <c r="V49" s="115">
        <f t="shared" si="46"/>
        <v>0</v>
      </c>
      <c r="W49" s="116">
        <f t="shared" si="47"/>
        <v>0</v>
      </c>
      <c r="X49" s="111"/>
      <c r="Y49" s="107"/>
      <c r="Z49" s="117"/>
    </row>
    <row r="50" spans="1:26" ht="28.9" customHeight="1" x14ac:dyDescent="0.25">
      <c r="A50" s="57" t="s">
        <v>228</v>
      </c>
      <c r="B50" s="42"/>
      <c r="C50" s="56" t="s">
        <v>438</v>
      </c>
      <c r="D50" s="62" t="str">
        <f>IF($G$2=נוסחאות!$B$2,נוסחאות!B51,IF($G$2=נוסחאות!$F$2,נוסחאות!F51,IF($G$2=נוסחאות!$J$2,נוסחאות!J51,0)))</f>
        <v>-</v>
      </c>
      <c r="E50" s="63">
        <f>IF($G$2=נוסחאות!$B$2,נוסחאות!C51,IF($G$2=נוסחאות!$F$2,נוסחאות!G51,IF($G$2=נוסחאות!$J$2,נוסחאות!K51,0)))</f>
        <v>4000</v>
      </c>
      <c r="F50" s="63">
        <f>IF($G$2=נוסחאות!$B$2,נוסחאות!D51*$F$1,IF($G$2=נוסחאות!$F$2,נוסחאות!H51*$F$1,IF($G$2=נוסחאות!$J$2,נוסחאות!L51*$F$1,0)))</f>
        <v>1</v>
      </c>
      <c r="G50" s="64">
        <f t="shared" ref="G50" si="52">F50*E50</f>
        <v>4000</v>
      </c>
      <c r="I50" s="251"/>
      <c r="J50" s="34">
        <f t="shared" si="38"/>
        <v>0</v>
      </c>
      <c r="K50" s="36" t="str">
        <f t="shared" ref="K50" si="53">IF(J50=0,"",IF(OR(J50-$G50&gt;0,J50-$G50&lt;0), (J50-$G50)/$G50, ""))</f>
        <v/>
      </c>
      <c r="L50" s="252" t="str">
        <f t="shared" si="39"/>
        <v/>
      </c>
      <c r="M50" s="261"/>
      <c r="N50" s="261"/>
      <c r="P50" s="109"/>
      <c r="Q50" s="110"/>
      <c r="R50" s="111"/>
      <c r="S50" s="112"/>
      <c r="T50" s="113"/>
      <c r="U50" s="114"/>
      <c r="V50" s="115">
        <f t="shared" si="46"/>
        <v>0</v>
      </c>
      <c r="W50" s="116">
        <f t="shared" si="47"/>
        <v>0</v>
      </c>
      <c r="X50" s="111"/>
      <c r="Y50" s="107"/>
      <c r="Z50" s="117"/>
    </row>
    <row r="51" spans="1:26" x14ac:dyDescent="0.25">
      <c r="A51" s="57" t="s">
        <v>229</v>
      </c>
      <c r="B51" s="56" t="s">
        <v>230</v>
      </c>
      <c r="C51" s="56" t="s">
        <v>437</v>
      </c>
      <c r="D51" s="62" t="str">
        <f>IF($G$2=נוסחאות!$B$2,נוסחאות!B52,IF($G$2=נוסחאות!$F$2,נוסחאות!F52,IF($G$2=נוסחאות!$J$2,נוסחאות!J52,0)))</f>
        <v>-</v>
      </c>
      <c r="E51" s="63">
        <f>IF($G$2=נוסחאות!$B$2,נוסחאות!C52,IF($G$2=נוסחאות!$F$2,נוסחאות!G52,IF($G$2=נוסחאות!$J$2,נוסחאות!K52,0)))</f>
        <v>25000</v>
      </c>
      <c r="F51" s="63">
        <f>IF($G$2=נוסחאות!$B$2,נוסחאות!D52*$F$1,IF($G$2=נוסחאות!$F$2,נוסחאות!H52*$F$1,IF($G$2=נוסחאות!$J$2,נוסחאות!L52*$F$1,0)))</f>
        <v>1</v>
      </c>
      <c r="G51" s="64">
        <f t="shared" si="37"/>
        <v>25000</v>
      </c>
      <c r="I51" s="251"/>
      <c r="J51" s="34">
        <f t="shared" si="38"/>
        <v>0</v>
      </c>
      <c r="K51" s="36" t="str">
        <f t="shared" si="5"/>
        <v/>
      </c>
      <c r="L51" s="252" t="str">
        <f t="shared" si="39"/>
        <v/>
      </c>
      <c r="M51" s="261"/>
      <c r="N51" s="261"/>
      <c r="P51" s="109"/>
      <c r="Q51" s="110"/>
      <c r="R51" s="111"/>
      <c r="S51" s="112"/>
      <c r="T51" s="113"/>
      <c r="U51" s="114"/>
      <c r="V51" s="115">
        <f t="shared" si="46"/>
        <v>0</v>
      </c>
      <c r="W51" s="116">
        <f t="shared" si="47"/>
        <v>0</v>
      </c>
      <c r="X51" s="111"/>
      <c r="Y51" s="107"/>
      <c r="Z51" s="117"/>
    </row>
    <row r="52" spans="1:26" s="48" customFormat="1" x14ac:dyDescent="0.25">
      <c r="A52" s="65" t="s">
        <v>231</v>
      </c>
      <c r="B52" s="44" t="s">
        <v>232</v>
      </c>
      <c r="C52" s="44"/>
      <c r="D52" s="44"/>
      <c r="E52" s="67"/>
      <c r="F52" s="82"/>
      <c r="G52" s="68">
        <f>SUM(G39:G51)</f>
        <v>56900</v>
      </c>
      <c r="I52" s="65"/>
      <c r="J52" s="68">
        <f>SUM(J39:J51)</f>
        <v>0</v>
      </c>
      <c r="K52" s="49" t="str">
        <f t="shared" si="5"/>
        <v/>
      </c>
      <c r="L52" s="66" t="str">
        <f>B52</f>
        <v>סה"כ ציוד כללי כולל מע"מ</v>
      </c>
      <c r="M52" s="44"/>
      <c r="N52" s="69"/>
      <c r="P52" s="68">
        <f>SUM(P38:P51)</f>
        <v>0</v>
      </c>
      <c r="Q52" s="149"/>
      <c r="R52" s="150"/>
      <c r="S52" s="151"/>
      <c r="T52" s="152"/>
      <c r="U52" s="68">
        <f>SUM(U38:U51)</f>
        <v>0</v>
      </c>
      <c r="V52" s="115">
        <f t="shared" si="46"/>
        <v>0</v>
      </c>
      <c r="W52" s="116">
        <f t="shared" si="47"/>
        <v>0</v>
      </c>
      <c r="X52" s="150"/>
      <c r="Y52" s="154"/>
      <c r="Z52" s="155"/>
    </row>
    <row r="53" spans="1:26" s="48" customFormat="1" x14ac:dyDescent="0.25">
      <c r="A53" s="65">
        <v>2.4</v>
      </c>
      <c r="B53" s="66"/>
      <c r="C53" s="44" t="s">
        <v>233</v>
      </c>
      <c r="D53" s="44"/>
      <c r="E53" s="67"/>
      <c r="F53" s="67"/>
      <c r="G53" s="82"/>
      <c r="I53" s="66"/>
      <c r="J53" s="44" t="str">
        <f>C53</f>
        <v>ציוד חצר/ מרפסת</v>
      </c>
      <c r="K53" s="94"/>
      <c r="L53" s="44"/>
      <c r="M53" s="44"/>
      <c r="N53" s="69"/>
      <c r="P53" s="249" t="str">
        <f>C53</f>
        <v>ציוד חצר/ מרפסת</v>
      </c>
      <c r="Q53" s="156"/>
      <c r="R53" s="157"/>
      <c r="S53" s="158"/>
      <c r="T53" s="159"/>
      <c r="U53" s="160"/>
      <c r="V53" s="161"/>
      <c r="W53" s="162"/>
      <c r="X53" s="157"/>
      <c r="Y53" s="163"/>
      <c r="Z53" s="164"/>
    </row>
    <row r="54" spans="1:26" s="48" customFormat="1" x14ac:dyDescent="0.25">
      <c r="A54" s="95" t="s">
        <v>234</v>
      </c>
      <c r="B54" s="41" t="s">
        <v>159</v>
      </c>
      <c r="C54" s="56" t="s">
        <v>481</v>
      </c>
      <c r="D54" s="62" t="str">
        <f>IF($G$2=נוסחאות!$B$2,נוסחאות!B57,IF($G$2=נוסחאות!$F$2,נוסחאות!F57,IF($G$2=נוסחאות!$J$2,נוסחאות!J57,0)))</f>
        <v>ממלאים רק במדה וקיימת חצר</v>
      </c>
      <c r="E54" s="63">
        <f>IF($G$2=נוסחאות!$B$2,נוסחאות!C57,IF($G$2=נוסחאות!$F$2,נוסחאות!G57,IF($G$2=נוסחאות!$J$2,נוסחאות!K57,0)))</f>
        <v>3500</v>
      </c>
      <c r="F54" s="63">
        <f>IF($G$2=נוסחאות!$B$2,נוסחאות!D57,IF($G$2=נוסחאות!$F$2,נוסחאות!H57,IF($G$2=נוסחאות!$J$2,נוסחאות!L57,0)))</f>
        <v>1</v>
      </c>
      <c r="G54" s="63">
        <f>F54*E54</f>
        <v>3500</v>
      </c>
      <c r="I54" s="253">
        <f>IF('שאלון למילוי הגוף-חובה'!$D$43="כן",F54,0)</f>
        <v>0</v>
      </c>
      <c r="J54" s="34">
        <f>IF('שאלון למילוי הגוף-חובה'!$D$43="כן",E54*I54,0)</f>
        <v>0</v>
      </c>
      <c r="K54" s="36" t="str">
        <f t="shared" ref="K54:K55" si="54">IF(J54=0,"",IF(OR(J54-G54&gt;0,J54-G54&lt;0), (J54-G54)/G54, ""))</f>
        <v/>
      </c>
      <c r="L54" s="252" t="str">
        <f t="shared" ref="L54:L55" si="55">IF(I54&gt;F54,"יש להסביר חריגה","")</f>
        <v/>
      </c>
      <c r="M54" s="261"/>
      <c r="N54" s="261" t="str">
        <f>IF('שאלון למילוי הגוף-חובה'!$D$43="לא","אין חצר","")</f>
        <v/>
      </c>
      <c r="P54" s="109"/>
      <c r="Q54" s="110"/>
      <c r="R54" s="111"/>
      <c r="S54" s="112"/>
      <c r="T54" s="113"/>
      <c r="U54" s="114"/>
      <c r="V54" s="115">
        <f t="shared" ref="V54:V56" si="56">IF(U54="",0,U54-J54)</f>
        <v>0</v>
      </c>
      <c r="W54" s="116">
        <f t="shared" si="47"/>
        <v>0</v>
      </c>
      <c r="X54" s="111"/>
      <c r="Y54" s="107"/>
      <c r="Z54" s="117"/>
    </row>
    <row r="55" spans="1:26" s="48" customFormat="1" x14ac:dyDescent="0.25">
      <c r="A55" s="95" t="s">
        <v>235</v>
      </c>
      <c r="B55" s="43"/>
      <c r="C55" s="56" t="s">
        <v>425</v>
      </c>
      <c r="D55" s="62" t="str">
        <f>IF($G$2=נוסחאות!$B$2,נוסחאות!B58,IF($G$2=נוסחאות!$F$2,נוסחאות!F58,IF($G$2=נוסחאות!$J$2,נוסחאות!J58,0)))</f>
        <v>ממלאים רק במדה וקיימת חצר</v>
      </c>
      <c r="E55" s="63">
        <f>IF($G$2=נוסחאות!$B$2,נוסחאות!C58,IF($G$2=נוסחאות!$F$2,נוסחאות!G58,IF($G$2=נוסחאות!$J$2,נוסחאות!K58,0)))</f>
        <v>5000</v>
      </c>
      <c r="F55" s="63">
        <f>IF($G$2=נוסחאות!$B$2,נוסחאות!D58,IF($G$2=נוסחאות!$F$2,נוסחאות!H58,IF($G$2=נוסחאות!$J$2,נוסחאות!L58,0)))</f>
        <v>1</v>
      </c>
      <c r="G55" s="63">
        <f>F55*E55</f>
        <v>5000</v>
      </c>
      <c r="I55" s="253">
        <f>IF('שאלון למילוי הגוף-חובה'!$D$43="כן",F55,0)</f>
        <v>0</v>
      </c>
      <c r="J55" s="34">
        <f>IF('שאלון למילוי הגוף-חובה'!$D$43="כן",E55*I55,0)</f>
        <v>0</v>
      </c>
      <c r="K55" s="36" t="str">
        <f t="shared" si="54"/>
        <v/>
      </c>
      <c r="L55" s="252" t="str">
        <f t="shared" si="55"/>
        <v/>
      </c>
      <c r="M55" s="261"/>
      <c r="N55" s="261" t="str">
        <f>IF('שאלון למילוי הגוף-חובה'!$D$43="לא","אין חצר","")</f>
        <v/>
      </c>
      <c r="P55" s="109"/>
      <c r="Q55" s="110"/>
      <c r="R55" s="111"/>
      <c r="S55" s="112"/>
      <c r="T55" s="113"/>
      <c r="U55" s="114"/>
      <c r="V55" s="115">
        <f t="shared" si="56"/>
        <v>0</v>
      </c>
      <c r="W55" s="116">
        <f t="shared" si="47"/>
        <v>0</v>
      </c>
      <c r="X55" s="111"/>
      <c r="Y55" s="107"/>
      <c r="Z55" s="117"/>
    </row>
    <row r="56" spans="1:26" s="48" customFormat="1" x14ac:dyDescent="0.25">
      <c r="A56" s="66" t="s">
        <v>236</v>
      </c>
      <c r="B56" s="44" t="s">
        <v>237</v>
      </c>
      <c r="C56" s="44"/>
      <c r="D56" s="44"/>
      <c r="E56" s="67"/>
      <c r="F56" s="82"/>
      <c r="G56" s="68">
        <f>SUM(G54:G55)</f>
        <v>8500</v>
      </c>
      <c r="I56" s="65"/>
      <c r="J56" s="68">
        <f>SUM(J54:J55)</f>
        <v>0</v>
      </c>
      <c r="K56" s="49" t="str">
        <f t="shared" ref="K56" si="57">IF(J56=0,"",IF(OR(J56-$G56&gt;0,J56-$G56&lt;0), (J56-$G56)/$G56, ""))</f>
        <v/>
      </c>
      <c r="L56" s="66" t="str">
        <f>B56</f>
        <v>סה"כ חצר/ מרפסת כולל מע"מ</v>
      </c>
      <c r="M56" s="44"/>
      <c r="N56" s="69"/>
      <c r="P56" s="68">
        <f>SUM(P54:P55)</f>
        <v>0</v>
      </c>
      <c r="Q56" s="149"/>
      <c r="R56" s="150"/>
      <c r="S56" s="151"/>
      <c r="T56" s="152"/>
      <c r="U56" s="68">
        <f>SUM(U54:U55)</f>
        <v>0</v>
      </c>
      <c r="V56" s="115">
        <f t="shared" si="56"/>
        <v>0</v>
      </c>
      <c r="W56" s="116">
        <f t="shared" si="47"/>
        <v>0</v>
      </c>
      <c r="X56" s="150"/>
      <c r="Y56" s="154"/>
      <c r="Z56" s="155"/>
    </row>
    <row r="57" spans="1:26" s="48" customFormat="1" x14ac:dyDescent="0.25">
      <c r="A57" s="66" t="s">
        <v>238</v>
      </c>
      <c r="B57" s="44"/>
      <c r="C57" s="44"/>
      <c r="D57" s="44"/>
      <c r="E57" s="67"/>
      <c r="F57" s="82"/>
      <c r="G57" s="68">
        <f>G21+G37+G52+G56</f>
        <v>171300</v>
      </c>
      <c r="I57" s="65"/>
      <c r="J57" s="68">
        <f>J21+J37+J52+J56</f>
        <v>0</v>
      </c>
      <c r="K57" s="49" t="str">
        <f t="shared" si="5"/>
        <v/>
      </c>
      <c r="L57" s="66" t="str">
        <f>A57</f>
        <v>סה"כ חללים משותפים בדירה קהילתית כולל מע"מ</v>
      </c>
      <c r="M57" s="44"/>
      <c r="N57" s="69"/>
      <c r="P57" s="68">
        <f>P21+P37+P52+P56</f>
        <v>0</v>
      </c>
      <c r="Q57" s="149"/>
      <c r="R57" s="150"/>
      <c r="S57" s="151"/>
      <c r="T57" s="152"/>
      <c r="U57" s="68">
        <f>U21+U37+U52+U56</f>
        <v>0</v>
      </c>
      <c r="V57" s="115">
        <f t="shared" ref="V57" si="58">IF(U57="",0,U57-J57)</f>
        <v>0</v>
      </c>
      <c r="W57" s="116">
        <f t="shared" ref="W57" si="59">IF(U57=0,0,V57/J57)</f>
        <v>0</v>
      </c>
      <c r="X57" s="150"/>
      <c r="Y57" s="154"/>
      <c r="Z57" s="155"/>
    </row>
  </sheetData>
  <sheetProtection algorithmName="SHA-512" hashValue="jdKYVb1KCu6JQW5pRdGH5hweV5moeV5gLb8m25wEha2nevJO3Bt7i2Dr7Js/Lem011+oe3/7yYagYH/d3drcoA==" saltValue="0KxnMVUbBkPxpmI7NNth1Q==" spinCount="100000" sheet="1" formatCells="0" formatColumns="0" formatRows="0"/>
  <phoneticPr fontId="30" type="noConversion"/>
  <conditionalFormatting sqref="K6:K21 K39:K52">
    <cfRule type="cellIs" dxfId="64" priority="36" operator="greaterThan">
      <formula>0</formula>
    </cfRule>
  </conditionalFormatting>
  <conditionalFormatting sqref="K23:K37">
    <cfRule type="cellIs" dxfId="63" priority="12" operator="greaterThan">
      <formula>0</formula>
    </cfRule>
  </conditionalFormatting>
  <conditionalFormatting sqref="K54:K57">
    <cfRule type="cellIs" dxfId="62" priority="4" operator="greaterThan">
      <formula>0</formula>
    </cfRule>
  </conditionalFormatting>
  <conditionalFormatting sqref="L6:L20 L39:L51">
    <cfRule type="cellIs" dxfId="61" priority="13" operator="equal">
      <formula>"יש להסביר חריגה"</formula>
    </cfRule>
    <cfRule type="cellIs" dxfId="60" priority="14" operator="equal">
      <formula>"נא להסביר חריגה"</formula>
    </cfRule>
    <cfRule type="containsText" dxfId="59" priority="15" operator="containsText" text="נא להסביר חריגה כאן">
      <formula>NOT(ISERROR(SEARCH("נא להסביר חריגה כאן",L6)))</formula>
    </cfRule>
  </conditionalFormatting>
  <conditionalFormatting sqref="L23:L36">
    <cfRule type="cellIs" dxfId="58" priority="9" operator="equal">
      <formula>"יש להסביר חריגה"</formula>
    </cfRule>
    <cfRule type="cellIs" dxfId="57" priority="10" operator="equal">
      <formula>"נא להסביר חריגה"</formula>
    </cfRule>
    <cfRule type="containsText" dxfId="56" priority="11" operator="containsText" text="נא להסביר חריגה כאן">
      <formula>NOT(ISERROR(SEARCH("נא להסביר חריגה כאן",L23)))</formula>
    </cfRule>
  </conditionalFormatting>
  <conditionalFormatting sqref="L54:L55">
    <cfRule type="cellIs" dxfId="55" priority="1" operator="equal">
      <formula>"יש להסביר חריגה"</formula>
    </cfRule>
    <cfRule type="cellIs" dxfId="54" priority="2" operator="equal">
      <formula>"נא להסביר חריגה"</formula>
    </cfRule>
    <cfRule type="containsText" dxfId="53" priority="3" operator="containsText" text="נא להסביר חריגה כאן">
      <formula>NOT(ISERROR(SEARCH("נא להסביר חריגה כאן",L54)))</formula>
    </cfRule>
  </conditionalFormatting>
  <conditionalFormatting sqref="P5:P20 P38:P51">
    <cfRule type="containsText" dxfId="52" priority="35" operator="containsText" text="נא להסביר חריגה כאן">
      <formula>NOT(ISERROR(SEARCH("נא להסביר חריגה כאן",P5)))</formula>
    </cfRule>
  </conditionalFormatting>
  <conditionalFormatting sqref="P22:P36">
    <cfRule type="containsText" dxfId="51" priority="18" operator="containsText" text="נא להסביר חריגה כאן">
      <formula>NOT(ISERROR(SEARCH("נא להסביר חריגה כאן",P22)))</formula>
    </cfRule>
  </conditionalFormatting>
  <conditionalFormatting sqref="P53:P55">
    <cfRule type="containsText" dxfId="50" priority="16" operator="containsText" text="נא להסביר חריגה כאן">
      <formula>NOT(ISERROR(SEARCH("נא להסביר חריגה כאן",P53)))</formula>
    </cfRule>
  </conditionalFormatting>
  <conditionalFormatting sqref="V5:W57">
    <cfRule type="cellIs" dxfId="49" priority="19" operator="greaterThan">
      <formula>0</formula>
    </cfRule>
  </conditionalFormatting>
  <dataValidations count="1">
    <dataValidation type="list" allowBlank="1" showInputMessage="1" showErrorMessage="1" sqref="M23:M36 M54:M55 M6:M20 M39:M51">
      <formula1>"מאושר, לא מאושר"</formula1>
    </dataValidation>
  </dataValidations>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3"/>
  <sheetViews>
    <sheetView rightToLeft="1" zoomScale="80" zoomScaleNormal="80" workbookViewId="0">
      <pane xSplit="3" ySplit="4" topLeftCell="D5" activePane="bottomRight" state="frozen"/>
      <selection activeCell="C7" sqref="C7"/>
      <selection pane="topRight" activeCell="C7" sqref="C7"/>
      <selection pane="bottomLeft" activeCell="C7" sqref="C7"/>
      <selection pane="bottomRight" activeCell="D37" sqref="D37"/>
    </sheetView>
  </sheetViews>
  <sheetFormatPr defaultColWidth="9" defaultRowHeight="15" outlineLevelCol="1" x14ac:dyDescent="0.25"/>
  <cols>
    <col min="1" max="1" width="6.25" style="23" customWidth="1"/>
    <col min="2" max="2" width="9" style="23" customWidth="1"/>
    <col min="3" max="3" width="22.875" style="23" customWidth="1"/>
    <col min="4" max="4" width="22.125" style="23" customWidth="1"/>
    <col min="5" max="5" width="10.25" style="210" customWidth="1"/>
    <col min="6" max="6" width="7.75" style="23" customWidth="1"/>
    <col min="7" max="7" width="10.75" style="23" customWidth="1"/>
    <col min="8" max="8" width="1.375" style="23" customWidth="1"/>
    <col min="9" max="9" width="7.625" style="23" customWidth="1"/>
    <col min="10" max="10" width="12.625" style="23" customWidth="1"/>
    <col min="11" max="11" width="8.875" style="23" bestFit="1" customWidth="1"/>
    <col min="12" max="12" width="19" style="23" customWidth="1"/>
    <col min="13" max="13" width="12.25" style="23" customWidth="1"/>
    <col min="14" max="14" width="18" style="23" customWidth="1"/>
    <col min="15" max="15" width="3.75" style="23" customWidth="1"/>
    <col min="16" max="16" width="13.75" style="23" hidden="1" customWidth="1" outlineLevel="1"/>
    <col min="17" max="20" width="0" style="23" hidden="1" customWidth="1" outlineLevel="1"/>
    <col min="21" max="21" width="11.75" style="23" hidden="1" customWidth="1" outlineLevel="1"/>
    <col min="22" max="22" width="11.375" style="23" hidden="1" customWidth="1" outlineLevel="1"/>
    <col min="23" max="26" width="0" style="23" hidden="1" customWidth="1" outlineLevel="1"/>
    <col min="27" max="27" width="9" style="23" collapsed="1"/>
    <col min="28" max="16384" width="9" style="23"/>
  </cols>
  <sheetData>
    <row r="1" spans="1:26" s="92" customFormat="1" ht="18.75" x14ac:dyDescent="0.3">
      <c r="A1" s="9" t="str">
        <f>'תוכן עניינים'!$B$7</f>
        <v>תקן ריהוט וציוד לדיור  קהילתי - גירסה: 07/09/26</v>
      </c>
      <c r="E1" s="236" t="str">
        <f>'שאלון למילוי הגוף-חובה'!$C$33</f>
        <v>מס' דירות מעל 8 דיירים</v>
      </c>
      <c r="F1" s="237">
        <f>'שאלון למילוי הגוף-חובה'!$D$33</f>
        <v>0</v>
      </c>
      <c r="G1" s="306" t="s">
        <v>170</v>
      </c>
      <c r="I1" s="299" t="str">
        <f>'שאלון למילוי הגוף-חובה'!$C$10&amp;" : "&amp;'שאלון למילוי הגוף-חובה'!$D$10</f>
        <v xml:space="preserve">שם הגוף המבקש : </v>
      </c>
    </row>
    <row r="2" spans="1:26" ht="18.75" x14ac:dyDescent="0.3">
      <c r="A2" s="23">
        <v>3</v>
      </c>
      <c r="B2" s="92" t="str">
        <f>'תוכן עניינים'!C16</f>
        <v>בית שיתופי: ציוד חללים משותפים (מעל 8 דיירים)</v>
      </c>
      <c r="D2" s="48"/>
      <c r="E2" s="236" t="str">
        <f>'שאלון למילוי הגוף-חובה'!C34</f>
        <v>מס' דיירים בדירות מעל 8 דיירים</v>
      </c>
      <c r="F2" s="237">
        <f>'שאלון למילוי הגוף-חובה'!D34</f>
        <v>0</v>
      </c>
      <c r="G2" s="221" t="str">
        <f>IF(F1=0,"הגיליון אינו רלוונטי לבקשה",IF(F2/F1&lt;=8,"הגיליון אינו רלוונטי לבקשה",IF(F2/F1&lt;=16,"עד 16","עד 24")))</f>
        <v>הגיליון אינו רלוונטי לבקשה</v>
      </c>
      <c r="H2" s="48"/>
      <c r="I2" s="299" t="str">
        <f>'שאלון למילוי הגוף-חובה'!$C$18&amp;" : "&amp;'שאלון למילוי הגוף-חובה'!$D$18</f>
        <v xml:space="preserve">שם המסגרת : </v>
      </c>
    </row>
    <row r="3" spans="1:26" x14ac:dyDescent="0.25">
      <c r="A3" s="95"/>
      <c r="B3" s="27"/>
      <c r="C3" s="27" t="s">
        <v>146</v>
      </c>
      <c r="D3" s="27"/>
      <c r="E3" s="218"/>
      <c r="F3" s="27"/>
      <c r="G3" s="28"/>
      <c r="I3" s="26" t="s">
        <v>391</v>
      </c>
      <c r="J3" s="27"/>
      <c r="K3" s="27"/>
      <c r="L3" s="28"/>
      <c r="M3" s="27" t="s">
        <v>392</v>
      </c>
      <c r="N3" s="28"/>
      <c r="P3" s="57" t="s">
        <v>393</v>
      </c>
      <c r="Q3" s="27"/>
      <c r="R3" s="27" t="s">
        <v>394</v>
      </c>
      <c r="S3" s="27"/>
      <c r="T3" s="27"/>
      <c r="U3" s="27"/>
      <c r="V3" s="27"/>
      <c r="W3" s="27"/>
      <c r="X3" s="27"/>
      <c r="Y3" s="27"/>
      <c r="Z3" s="28"/>
    </row>
    <row r="4" spans="1:26" ht="90" x14ac:dyDescent="0.25">
      <c r="A4" s="57" t="s">
        <v>147</v>
      </c>
      <c r="B4" s="29" t="s">
        <v>148</v>
      </c>
      <c r="C4" s="21" t="s">
        <v>149</v>
      </c>
      <c r="D4" s="21" t="s">
        <v>410</v>
      </c>
      <c r="E4" s="21" t="s">
        <v>171</v>
      </c>
      <c r="F4" s="56" t="s">
        <v>172</v>
      </c>
      <c r="G4" s="21" t="s">
        <v>173</v>
      </c>
      <c r="I4" s="30" t="s">
        <v>153</v>
      </c>
      <c r="J4" s="30" t="s">
        <v>154</v>
      </c>
      <c r="K4" s="31" t="s">
        <v>155</v>
      </c>
      <c r="L4" s="21" t="s">
        <v>156</v>
      </c>
      <c r="M4" s="21" t="s">
        <v>157</v>
      </c>
      <c r="N4" s="21" t="s">
        <v>158</v>
      </c>
      <c r="P4" s="103" t="s">
        <v>395</v>
      </c>
      <c r="Q4" s="104" t="s">
        <v>396</v>
      </c>
      <c r="R4" s="105" t="s">
        <v>397</v>
      </c>
      <c r="S4" s="105" t="s">
        <v>398</v>
      </c>
      <c r="T4" s="105" t="s">
        <v>399</v>
      </c>
      <c r="U4" s="106" t="s">
        <v>400</v>
      </c>
      <c r="V4" s="106" t="s">
        <v>401</v>
      </c>
      <c r="W4" s="105" t="s">
        <v>402</v>
      </c>
      <c r="X4" s="105" t="s">
        <v>403</v>
      </c>
      <c r="Y4" s="107" t="s">
        <v>404</v>
      </c>
      <c r="Z4" s="108" t="s">
        <v>405</v>
      </c>
    </row>
    <row r="5" spans="1:26" s="48" customFormat="1" x14ac:dyDescent="0.25">
      <c r="A5" s="246">
        <v>3.1</v>
      </c>
      <c r="B5" s="44"/>
      <c r="C5" s="44" t="s">
        <v>239</v>
      </c>
      <c r="D5" s="44"/>
      <c r="E5" s="67"/>
      <c r="F5" s="241"/>
      <c r="G5" s="69"/>
      <c r="I5" s="66"/>
      <c r="J5" s="44" t="str">
        <f>C5</f>
        <v>מטבח מרכזי</v>
      </c>
      <c r="K5" s="44"/>
      <c r="L5" s="67"/>
      <c r="M5" s="67"/>
      <c r="N5" s="28"/>
      <c r="P5" s="248" t="str">
        <f>C5</f>
        <v>מטבח מרכזי</v>
      </c>
      <c r="Q5" s="156"/>
      <c r="R5" s="156"/>
      <c r="S5" s="158"/>
      <c r="T5" s="159"/>
      <c r="U5" s="160"/>
      <c r="V5" s="161"/>
      <c r="W5" s="162"/>
      <c r="X5" s="156"/>
      <c r="Y5" s="247"/>
      <c r="Z5" s="164"/>
    </row>
    <row r="6" spans="1:26" x14ac:dyDescent="0.25">
      <c r="A6" s="21" t="s">
        <v>240</v>
      </c>
      <c r="B6" s="72" t="s">
        <v>177</v>
      </c>
      <c r="C6" s="43" t="s">
        <v>178</v>
      </c>
      <c r="D6" s="73">
        <f>IF($G$2=נוסחאות!$N$2,נוסחאות!N7,IF($G$2=נוסחאות!$R$2,נוסחאות!R7,0))</f>
        <v>0</v>
      </c>
      <c r="E6" s="34">
        <f>IF($G$2=נוסחאות!$N$2,נוסחאות!O7,IF($G$2=נוסחאות!$R$2,נוסחאות!O7,0))</f>
        <v>0</v>
      </c>
      <c r="F6" s="35">
        <f>IF($G$2=נוסחאות!$N$2,נוסחאות!P7*$F$1,IF($G$2=נוסחאות!$R$2,נוסחאות!T7*$F$1,0))</f>
        <v>0</v>
      </c>
      <c r="G6" s="34">
        <f t="shared" ref="G6:G20" si="0">F6*E6</f>
        <v>0</v>
      </c>
      <c r="I6" s="251"/>
      <c r="J6" s="34">
        <f t="shared" ref="J6:J20" si="1">IF(G6=0,0,I6*E6)</f>
        <v>0</v>
      </c>
      <c r="K6" s="36" t="str">
        <f t="shared" ref="K6:K21" si="2">IF(J6=0,"",IF(OR(J6-G6&gt;0,J6-G6&lt;0), (J6-G6)/G6, ""))</f>
        <v/>
      </c>
      <c r="L6" s="252" t="str">
        <f t="shared" ref="L6:L20" si="3">IF(I6&gt;F6,"יש להסביר חריגה","")</f>
        <v/>
      </c>
      <c r="M6" s="261"/>
      <c r="N6" s="261"/>
      <c r="P6" s="109"/>
      <c r="Q6" s="110"/>
      <c r="R6" s="111"/>
      <c r="S6" s="112"/>
      <c r="T6" s="113"/>
      <c r="U6" s="114"/>
      <c r="V6" s="115">
        <f t="shared" ref="V6:V20" si="4">IF(U6="",0,U6-J6)</f>
        <v>0</v>
      </c>
      <c r="W6" s="116">
        <f t="shared" ref="W6:W20" si="5">IF(U6=0,0,V6/J6)</f>
        <v>0</v>
      </c>
      <c r="X6" s="111"/>
      <c r="Y6" s="107"/>
      <c r="Z6" s="117"/>
    </row>
    <row r="7" spans="1:26" x14ac:dyDescent="0.25">
      <c r="A7" s="21" t="s">
        <v>241</v>
      </c>
      <c r="B7" s="232"/>
      <c r="C7" s="56" t="s">
        <v>242</v>
      </c>
      <c r="D7" s="73">
        <f>IF($G$2=נוסחאות!$N$2,נוסחאות!N19,IF($G$2=נוסחאות!$R$2,נוסחאות!R19,0))</f>
        <v>0</v>
      </c>
      <c r="E7" s="34">
        <f>IF($G$2=נוסחאות!$N$2,נוסחאות!O19,IF($G$2=נוסחאות!$R$2,נוסחאות!S19,0))</f>
        <v>0</v>
      </c>
      <c r="F7" s="35">
        <f>IF($G$2=נוסחאות!$N$2,נוסחאות!P19*$F$1,IF($G$2=נוסחאות!$R$2,נוסחאות!T19*$F$1,0))</f>
        <v>0</v>
      </c>
      <c r="G7" s="34">
        <f t="shared" si="0"/>
        <v>0</v>
      </c>
      <c r="I7" s="251"/>
      <c r="J7" s="34">
        <f t="shared" si="1"/>
        <v>0</v>
      </c>
      <c r="K7" s="36" t="str">
        <f t="shared" si="2"/>
        <v/>
      </c>
      <c r="L7" s="252" t="str">
        <f t="shared" si="3"/>
        <v/>
      </c>
      <c r="M7" s="261"/>
      <c r="N7" s="261"/>
      <c r="P7" s="109"/>
      <c r="Q7" s="110"/>
      <c r="R7" s="111"/>
      <c r="S7" s="112"/>
      <c r="T7" s="113"/>
      <c r="U7" s="114"/>
      <c r="V7" s="115">
        <f t="shared" si="4"/>
        <v>0</v>
      </c>
      <c r="W7" s="116">
        <f t="shared" si="5"/>
        <v>0</v>
      </c>
      <c r="X7" s="111"/>
      <c r="Y7" s="107"/>
      <c r="Z7" s="117"/>
    </row>
    <row r="8" spans="1:26" x14ac:dyDescent="0.25">
      <c r="A8" s="21" t="s">
        <v>243</v>
      </c>
      <c r="B8" s="37"/>
      <c r="C8" s="56" t="s">
        <v>25</v>
      </c>
      <c r="D8" s="73">
        <f>IF($G$2=נוסחאות!$N$2,נוסחאות!N6,IF($G$2=נוסחאות!$R$2,נוסחאות!R6,0))</f>
        <v>0</v>
      </c>
      <c r="E8" s="34">
        <f>IF($G$2=נוסחאות!$N$2,נוסחאות!O6,IF($G$2=נוסחאות!$R$2,נוסחאות!S6,0))</f>
        <v>0</v>
      </c>
      <c r="F8" s="35">
        <f>IF($G$2=נוסחאות!$N$2,נוסחאות!P6*$F$1,IF($G$2=נוסחאות!$R$2,נוסחאות!T6*$F$1,0))</f>
        <v>0</v>
      </c>
      <c r="G8" s="34">
        <f t="shared" si="0"/>
        <v>0</v>
      </c>
      <c r="I8" s="251"/>
      <c r="J8" s="34">
        <f t="shared" si="1"/>
        <v>0</v>
      </c>
      <c r="K8" s="36" t="str">
        <f t="shared" si="2"/>
        <v/>
      </c>
      <c r="L8" s="252" t="str">
        <f t="shared" si="3"/>
        <v/>
      </c>
      <c r="M8" s="261"/>
      <c r="N8" s="261"/>
      <c r="P8" s="109"/>
      <c r="Q8" s="110"/>
      <c r="R8" s="111"/>
      <c r="S8" s="112"/>
      <c r="T8" s="113"/>
      <c r="U8" s="114"/>
      <c r="V8" s="115">
        <f t="shared" si="4"/>
        <v>0</v>
      </c>
      <c r="W8" s="116">
        <f t="shared" si="5"/>
        <v>0</v>
      </c>
      <c r="X8" s="111"/>
      <c r="Y8" s="107"/>
      <c r="Z8" s="117"/>
    </row>
    <row r="9" spans="1:26" x14ac:dyDescent="0.25">
      <c r="A9" s="21" t="s">
        <v>244</v>
      </c>
      <c r="B9" s="37"/>
      <c r="C9" s="56" t="s">
        <v>32</v>
      </c>
      <c r="D9" s="73">
        <f>IF($G$2=נוסחאות!$N$2,נוסחאות!N16,IF($G$2=נוסחאות!$R$2,נוסחאות!R16,0))</f>
        <v>0</v>
      </c>
      <c r="E9" s="34">
        <f>IF($G$2=נוסחאות!$N$2,נוסחאות!O16,IF($G$2=נוסחאות!$R$2,נוסחאות!S16,0))</f>
        <v>0</v>
      </c>
      <c r="F9" s="35">
        <f>IF($G$2=נוסחאות!$N$2,נוסחאות!P16*$F$1,IF($G$2=נוסחאות!$R$2,נוסחאות!T16*$F$1,0))</f>
        <v>0</v>
      </c>
      <c r="G9" s="34">
        <f t="shared" si="0"/>
        <v>0</v>
      </c>
      <c r="I9" s="251"/>
      <c r="J9" s="34">
        <f t="shared" si="1"/>
        <v>0</v>
      </c>
      <c r="K9" s="36" t="str">
        <f t="shared" si="2"/>
        <v/>
      </c>
      <c r="L9" s="252" t="str">
        <f t="shared" si="3"/>
        <v/>
      </c>
      <c r="M9" s="261"/>
      <c r="N9" s="261"/>
      <c r="P9" s="109"/>
      <c r="Q9" s="110"/>
      <c r="R9" s="111"/>
      <c r="S9" s="112"/>
      <c r="T9" s="113"/>
      <c r="U9" s="114"/>
      <c r="V9" s="115">
        <f t="shared" si="4"/>
        <v>0</v>
      </c>
      <c r="W9" s="116">
        <f t="shared" si="5"/>
        <v>0</v>
      </c>
      <c r="X9" s="111"/>
      <c r="Y9" s="107"/>
      <c r="Z9" s="117"/>
    </row>
    <row r="10" spans="1:26" ht="13.5" customHeight="1" x14ac:dyDescent="0.25">
      <c r="A10" s="21" t="s">
        <v>245</v>
      </c>
      <c r="B10" s="37"/>
      <c r="C10" s="56" t="s">
        <v>446</v>
      </c>
      <c r="D10" s="73">
        <f>IF($G$2=נוסחאות!$N$2,נוסחאות!N10,IF($G$2=נוסחאות!$R$2,נוסחאות!R10,0))</f>
        <v>0</v>
      </c>
      <c r="E10" s="34">
        <f>IF($G$2=נוסחאות!$N$2,נוסחאות!O10,IF($G$2=נוסחאות!$R$2,נוסחאות!S10,0))</f>
        <v>0</v>
      </c>
      <c r="F10" s="35">
        <f>IF($G$2=נוסחאות!$N$2,נוסחאות!P10*$F$1,IF($G$2=נוסחאות!$R$2,נוסחאות!T10*$F$1,0))</f>
        <v>0</v>
      </c>
      <c r="G10" s="34">
        <f t="shared" si="0"/>
        <v>0</v>
      </c>
      <c r="I10" s="251"/>
      <c r="J10" s="34">
        <f t="shared" si="1"/>
        <v>0</v>
      </c>
      <c r="K10" s="36" t="str">
        <f t="shared" si="2"/>
        <v/>
      </c>
      <c r="L10" s="252" t="str">
        <f t="shared" si="3"/>
        <v/>
      </c>
      <c r="M10" s="261"/>
      <c r="N10" s="261"/>
      <c r="P10" s="109"/>
      <c r="Q10" s="110"/>
      <c r="R10" s="111"/>
      <c r="S10" s="112"/>
      <c r="T10" s="113"/>
      <c r="U10" s="114"/>
      <c r="V10" s="115">
        <f t="shared" si="4"/>
        <v>0</v>
      </c>
      <c r="W10" s="116">
        <f t="shared" si="5"/>
        <v>0</v>
      </c>
      <c r="X10" s="111"/>
      <c r="Y10" s="107"/>
      <c r="Z10" s="117"/>
    </row>
    <row r="11" spans="1:26" ht="13.5" customHeight="1" x14ac:dyDescent="0.25">
      <c r="A11" s="21" t="s">
        <v>246</v>
      </c>
      <c r="B11" s="37"/>
      <c r="C11" s="56" t="s">
        <v>423</v>
      </c>
      <c r="D11" s="73">
        <f>IF($G$2=נוסחאות!$N$2,נוסחאות!N12,IF($G$2=נוסחאות!$R$2,נוסחאות!R12,0))</f>
        <v>0</v>
      </c>
      <c r="E11" s="34">
        <f>IF($G$2=נוסחאות!$N$2,נוסחאות!O12,IF($G$2=נוסחאות!$R$2,נוסחאות!S12,0))</f>
        <v>0</v>
      </c>
      <c r="F11" s="35">
        <f>IF($G$2=נוסחאות!$N$2,נוסחאות!P12*$F$1,IF($G$2=נוסחאות!$R$2,נוסחאות!T12*$F$1,0))</f>
        <v>0</v>
      </c>
      <c r="G11" s="34">
        <f t="shared" si="0"/>
        <v>0</v>
      </c>
      <c r="I11" s="251"/>
      <c r="J11" s="34">
        <f t="shared" si="1"/>
        <v>0</v>
      </c>
      <c r="K11" s="36" t="str">
        <f t="shared" si="2"/>
        <v/>
      </c>
      <c r="L11" s="252" t="str">
        <f t="shared" si="3"/>
        <v/>
      </c>
      <c r="M11" s="261"/>
      <c r="N11" s="261"/>
      <c r="P11" s="109"/>
      <c r="Q11" s="110"/>
      <c r="R11" s="111"/>
      <c r="S11" s="112"/>
      <c r="T11" s="113"/>
      <c r="U11" s="114"/>
      <c r="V11" s="115">
        <f t="shared" si="4"/>
        <v>0</v>
      </c>
      <c r="W11" s="116">
        <f t="shared" si="5"/>
        <v>0</v>
      </c>
      <c r="X11" s="111"/>
      <c r="Y11" s="107"/>
      <c r="Z11" s="117"/>
    </row>
    <row r="12" spans="1:26" ht="13.5" customHeight="1" x14ac:dyDescent="0.25">
      <c r="A12" s="21" t="s">
        <v>247</v>
      </c>
      <c r="B12" s="37"/>
      <c r="C12" s="56" t="s">
        <v>466</v>
      </c>
      <c r="D12" s="73">
        <f>IF($G$2=נוסחאות!$N$2,נוסחאות!N11,IF($G$2=נוסחאות!$R$2,נוסחאות!R11,0))</f>
        <v>0</v>
      </c>
      <c r="E12" s="34">
        <f>IF($G$2=נוסחאות!$N$2,נוסחאות!O11,IF($G$2=נוסחאות!$R$2,נוסחאות!S11,0))</f>
        <v>0</v>
      </c>
      <c r="F12" s="35">
        <f>IF($G$2=נוסחאות!$N$2,נוסחאות!P13*$F$1,IF($G$2=נוסחאות!$R$2,נוסחאות!T13*$F$1,0))</f>
        <v>0</v>
      </c>
      <c r="G12" s="34">
        <f t="shared" ref="G12" si="6">F12*E12</f>
        <v>0</v>
      </c>
      <c r="I12" s="251"/>
      <c r="J12" s="34">
        <f t="shared" ref="J12" si="7">IF(G12=0,0,I12*E12)</f>
        <v>0</v>
      </c>
      <c r="K12" s="36" t="str">
        <f t="shared" ref="K12" si="8">IF(J12=0,"",IF(OR(J12-G12&gt;0,J12-G12&lt;0), (J12-G12)/G12, ""))</f>
        <v/>
      </c>
      <c r="L12" s="252" t="str">
        <f t="shared" ref="L12" si="9">IF(I12&gt;F12,"יש להסביר חריגה","")</f>
        <v/>
      </c>
      <c r="M12" s="261"/>
      <c r="N12" s="261"/>
      <c r="P12" s="109"/>
      <c r="Q12" s="110"/>
      <c r="R12" s="111"/>
      <c r="S12" s="112"/>
      <c r="T12" s="113"/>
      <c r="U12" s="114"/>
      <c r="V12" s="115">
        <f t="shared" ref="V12" si="10">IF(U12="",0,U12-J12)</f>
        <v>0</v>
      </c>
      <c r="W12" s="116">
        <f t="shared" ref="W12" si="11">IF(U12=0,0,V12/J12)</f>
        <v>0</v>
      </c>
      <c r="X12" s="111"/>
      <c r="Y12" s="107"/>
      <c r="Z12" s="117"/>
    </row>
    <row r="13" spans="1:26" x14ac:dyDescent="0.25">
      <c r="A13" s="21" t="s">
        <v>248</v>
      </c>
      <c r="B13" s="37"/>
      <c r="C13" s="56" t="s">
        <v>416</v>
      </c>
      <c r="D13" s="73">
        <f>IF($G$2=נוסחאות!$N$2,נוסחאות!N14,IF($G$2=נוסחאות!$R$2,נוסחאות!R14,0))</f>
        <v>0</v>
      </c>
      <c r="E13" s="34">
        <f>IF($G$2=נוסחאות!$N$2,נוסחאות!O14,IF($G$2=נוסחאות!$R$2,נוסחאות!S14,0))</f>
        <v>0</v>
      </c>
      <c r="F13" s="35">
        <f>IF($G$2=נוסחאות!$N$2,נוסחאות!P14*$F$1,IF($G$2=נוסחאות!$R$2,נוסחאות!T14*$F$1,0))</f>
        <v>0</v>
      </c>
      <c r="G13" s="34">
        <f t="shared" si="0"/>
        <v>0</v>
      </c>
      <c r="I13" s="251"/>
      <c r="J13" s="34">
        <f t="shared" si="1"/>
        <v>0</v>
      </c>
      <c r="K13" s="36" t="str">
        <f t="shared" si="2"/>
        <v/>
      </c>
      <c r="L13" s="252" t="str">
        <f t="shared" si="3"/>
        <v/>
      </c>
      <c r="M13" s="261"/>
      <c r="N13" s="261"/>
      <c r="P13" s="109"/>
      <c r="Q13" s="110"/>
      <c r="R13" s="111"/>
      <c r="S13" s="112"/>
      <c r="T13" s="113"/>
      <c r="U13" s="114"/>
      <c r="V13" s="115">
        <f t="shared" si="4"/>
        <v>0</v>
      </c>
      <c r="W13" s="116">
        <f t="shared" si="5"/>
        <v>0</v>
      </c>
      <c r="X13" s="111"/>
      <c r="Y13" s="107"/>
      <c r="Z13" s="117"/>
    </row>
    <row r="14" spans="1:26" x14ac:dyDescent="0.25">
      <c r="A14" s="21" t="s">
        <v>249</v>
      </c>
      <c r="B14" s="37"/>
      <c r="C14" s="56" t="s">
        <v>24</v>
      </c>
      <c r="D14" s="73">
        <f>IF($G$2=נוסחאות!$N$2,נוסחאות!N5,IF($G$2=נוסחאות!$R$2,נוסחאות!R5,0))</f>
        <v>0</v>
      </c>
      <c r="E14" s="35">
        <f>IF($G$2=נוסחאות!$N$2,נוסחאות!O5,IF($G$2=נוסחאות!$R$2,נוסחאות!S5,0))</f>
        <v>0</v>
      </c>
      <c r="F14" s="35">
        <f>IF($G$2=נוסחאות!$N$2,נוסחאות!P5*$F$1,IF($G$2=נוסחאות!$R$2,נוסחאות!T5*$F$1,0))</f>
        <v>0</v>
      </c>
      <c r="G14" s="34">
        <f t="shared" si="0"/>
        <v>0</v>
      </c>
      <c r="H14" s="48"/>
      <c r="I14" s="251"/>
      <c r="J14" s="34">
        <f t="shared" si="1"/>
        <v>0</v>
      </c>
      <c r="K14" s="36" t="str">
        <f t="shared" si="2"/>
        <v/>
      </c>
      <c r="L14" s="252" t="str">
        <f>IF(I14&gt;F14,"יש להסביר חריגה","")</f>
        <v/>
      </c>
      <c r="M14" s="261"/>
      <c r="N14" s="261"/>
      <c r="P14" s="109"/>
      <c r="Q14" s="110"/>
      <c r="R14" s="111"/>
      <c r="S14" s="112"/>
      <c r="T14" s="113"/>
      <c r="U14" s="114"/>
      <c r="V14" s="115">
        <f t="shared" si="4"/>
        <v>0</v>
      </c>
      <c r="W14" s="116">
        <f t="shared" si="5"/>
        <v>0</v>
      </c>
      <c r="X14" s="111"/>
      <c r="Y14" s="107"/>
      <c r="Z14" s="117"/>
    </row>
    <row r="15" spans="1:26" x14ac:dyDescent="0.25">
      <c r="A15" s="21" t="s">
        <v>250</v>
      </c>
      <c r="B15" s="37"/>
      <c r="C15" s="56" t="s">
        <v>424</v>
      </c>
      <c r="D15" s="73">
        <f>IF($G$2=נוסחאות!$N$2,נוסחאות!N17,IF($G$2=נוסחאות!$R$2,נוסחאות!R17,0))</f>
        <v>0</v>
      </c>
      <c r="E15" s="34">
        <f>IF($G$2=נוסחאות!$N$2,נוסחאות!O17,IF($G$2=נוסחאות!$R$2,נוסחאות!S17,0))</f>
        <v>0</v>
      </c>
      <c r="F15" s="34">
        <f>IF($G$2=נוסחאות!$N$2,נוסחאות!P17*$F$1,IF($G$2=נוסחאות!$R$2,נוסחאות!T17*$F$1,0))</f>
        <v>0</v>
      </c>
      <c r="G15" s="34">
        <f t="shared" si="0"/>
        <v>0</v>
      </c>
      <c r="I15" s="251"/>
      <c r="J15" s="34">
        <f t="shared" si="1"/>
        <v>0</v>
      </c>
      <c r="K15" s="36" t="str">
        <f t="shared" si="2"/>
        <v/>
      </c>
      <c r="L15" s="252" t="str">
        <f t="shared" si="3"/>
        <v/>
      </c>
      <c r="M15" s="261"/>
      <c r="N15" s="261"/>
      <c r="P15" s="109"/>
      <c r="Q15" s="110"/>
      <c r="R15" s="111"/>
      <c r="S15" s="112"/>
      <c r="T15" s="113"/>
      <c r="U15" s="114"/>
      <c r="V15" s="115">
        <f t="shared" si="4"/>
        <v>0</v>
      </c>
      <c r="W15" s="116">
        <f t="shared" si="5"/>
        <v>0</v>
      </c>
      <c r="X15" s="111"/>
      <c r="Y15" s="107"/>
      <c r="Z15" s="117"/>
    </row>
    <row r="16" spans="1:26" x14ac:dyDescent="0.25">
      <c r="A16" s="21" t="s">
        <v>252</v>
      </c>
      <c r="B16" s="37"/>
      <c r="C16" s="56" t="s">
        <v>251</v>
      </c>
      <c r="D16" s="73">
        <f>IF($G$2=נוסחאות!$N$2,נוסחאות!N18,IF($G$2=נוסחאות!$R$2,נוסחאות!R18,0))</f>
        <v>0</v>
      </c>
      <c r="E16" s="34">
        <f>IF($G$2=נוסחאות!$N$2,נוסחאות!O18,IF($G$2=נוסחאות!$R$2,נוסחאות!S18,0))</f>
        <v>0</v>
      </c>
      <c r="F16" s="34">
        <f>IF($G$2=נוסחאות!$N$2,נוסחאות!P18*$F$1,IF($G$2=נוסחאות!$R$2,נוסחאות!T18*$F$1,0))</f>
        <v>0</v>
      </c>
      <c r="G16" s="34">
        <f t="shared" si="0"/>
        <v>0</v>
      </c>
      <c r="I16" s="251"/>
      <c r="J16" s="34">
        <f t="shared" si="1"/>
        <v>0</v>
      </c>
      <c r="K16" s="36" t="str">
        <f t="shared" si="2"/>
        <v/>
      </c>
      <c r="L16" s="252" t="str">
        <f>IF(I16&gt;F16,"יש להסביר חריגה","")</f>
        <v/>
      </c>
      <c r="M16" s="261"/>
      <c r="N16" s="261"/>
      <c r="P16" s="109"/>
      <c r="Q16" s="110"/>
      <c r="R16" s="111"/>
      <c r="S16" s="112"/>
      <c r="T16" s="113"/>
      <c r="U16" s="114"/>
      <c r="V16" s="115">
        <f t="shared" si="4"/>
        <v>0</v>
      </c>
      <c r="W16" s="116">
        <f t="shared" si="5"/>
        <v>0</v>
      </c>
      <c r="X16" s="111"/>
      <c r="Y16" s="107"/>
      <c r="Z16" s="117"/>
    </row>
    <row r="17" spans="1:26" x14ac:dyDescent="0.25">
      <c r="A17" s="21" t="s">
        <v>253</v>
      </c>
      <c r="B17" s="37"/>
      <c r="C17" s="56" t="s">
        <v>30</v>
      </c>
      <c r="D17" s="73">
        <f>IF($G$2=נוסחאות!$N$2,נוסחאות!N13,IF($G$2=נוסחאות!$R$2,נוסחאות!R13,0))</f>
        <v>0</v>
      </c>
      <c r="E17" s="35">
        <f>IF($G$2=נוסחאות!$N$2,נוסחאות!O13,IF($G$2=נוסחאות!$R$2,נוסחאות!S13,0))</f>
        <v>0</v>
      </c>
      <c r="F17" s="35">
        <f>IF($G$2=נוסחאות!$N$2,נוסחאות!P13*$F$1,IF($G$2=נוסחאות!$R$2,נוסחאות!T13*$F$1,0))</f>
        <v>0</v>
      </c>
      <c r="G17" s="34">
        <f t="shared" si="0"/>
        <v>0</v>
      </c>
      <c r="H17" s="48"/>
      <c r="I17" s="251"/>
      <c r="J17" s="34">
        <f t="shared" si="1"/>
        <v>0</v>
      </c>
      <c r="K17" s="36" t="str">
        <f t="shared" ref="K17:K19" si="12">IF(J17=0,"",IF(OR(J17-G17&gt;0,J17-G17&lt;0), (J17-G17)/G17, ""))</f>
        <v/>
      </c>
      <c r="L17" s="252" t="str">
        <f t="shared" ref="L17:L19" si="13">IF(I17&gt;F17,"יש להסביר חריגה","")</f>
        <v/>
      </c>
      <c r="M17" s="261"/>
      <c r="N17" s="261"/>
      <c r="P17" s="109"/>
      <c r="Q17" s="110"/>
      <c r="R17" s="111"/>
      <c r="S17" s="112"/>
      <c r="T17" s="113"/>
      <c r="U17" s="114"/>
      <c r="V17" s="115">
        <f t="shared" si="4"/>
        <v>0</v>
      </c>
      <c r="W17" s="116">
        <f t="shared" si="5"/>
        <v>0</v>
      </c>
      <c r="X17" s="111"/>
      <c r="Y17" s="107"/>
      <c r="Z17" s="117"/>
    </row>
    <row r="18" spans="1:26" x14ac:dyDescent="0.25">
      <c r="A18" s="21" t="s">
        <v>254</v>
      </c>
      <c r="B18" s="232"/>
      <c r="C18" s="56" t="s">
        <v>27</v>
      </c>
      <c r="D18" s="73">
        <f>IF($G$2=נוסחאות!$N$2,נוסחאות!N8,IF($G$2=נוסחאות!$R$2,נוסחאות!R8,0))</f>
        <v>0</v>
      </c>
      <c r="E18" s="35">
        <f>IF($G$2=נוסחאות!$N$2,נוסחאות!O8,IF($G$2=נוסחאות!$R$2,נוסחאות!S8,0))</f>
        <v>0</v>
      </c>
      <c r="F18" s="35">
        <f>IF($G$2=נוסחאות!$N$2,נוסחאות!P8*$F$1,IF($G$2=נוסחאות!$R$2,נוסחאות!T8*$F$1,0))</f>
        <v>0</v>
      </c>
      <c r="G18" s="34">
        <f t="shared" si="0"/>
        <v>0</v>
      </c>
      <c r="H18" s="48"/>
      <c r="I18" s="251"/>
      <c r="J18" s="34">
        <f t="shared" si="1"/>
        <v>0</v>
      </c>
      <c r="K18" s="36" t="str">
        <f t="shared" si="12"/>
        <v/>
      </c>
      <c r="L18" s="252" t="str">
        <f t="shared" si="13"/>
        <v/>
      </c>
      <c r="M18" s="261"/>
      <c r="N18" s="261"/>
      <c r="P18" s="109"/>
      <c r="Q18" s="110"/>
      <c r="R18" s="111"/>
      <c r="S18" s="112"/>
      <c r="T18" s="113"/>
      <c r="U18" s="114"/>
      <c r="V18" s="115">
        <f t="shared" si="4"/>
        <v>0</v>
      </c>
      <c r="W18" s="116">
        <f t="shared" si="5"/>
        <v>0</v>
      </c>
      <c r="X18" s="111"/>
      <c r="Y18" s="107"/>
      <c r="Z18" s="117"/>
    </row>
    <row r="19" spans="1:26" x14ac:dyDescent="0.25">
      <c r="A19" s="21" t="s">
        <v>255</v>
      </c>
      <c r="B19" s="232"/>
      <c r="C19" s="56" t="s">
        <v>28</v>
      </c>
      <c r="D19" s="73">
        <f>IF($G$2=נוסחאות!$N$2,נוסחאות!N9,IF($G$2=נוסחאות!$R$2,נוסחאות!R9,0))</f>
        <v>0</v>
      </c>
      <c r="E19" s="35">
        <f>IF($G$2=נוסחאות!$N$2,נוסחאות!O9,IF($G$2=נוסחאות!$R$2,נוסחאות!S9,0))</f>
        <v>0</v>
      </c>
      <c r="F19" s="35">
        <f>IF($G$2=נוסחאות!$N$2,נוסחאות!P9*$F$1,IF($G$2=נוסחאות!$R$2,נוסחאות!T9*$F$1,0))</f>
        <v>0</v>
      </c>
      <c r="G19" s="34">
        <f t="shared" si="0"/>
        <v>0</v>
      </c>
      <c r="H19" s="48"/>
      <c r="I19" s="251"/>
      <c r="J19" s="34">
        <f t="shared" si="1"/>
        <v>0</v>
      </c>
      <c r="K19" s="36" t="str">
        <f t="shared" si="12"/>
        <v/>
      </c>
      <c r="L19" s="252" t="str">
        <f t="shared" si="13"/>
        <v/>
      </c>
      <c r="M19" s="261"/>
      <c r="N19" s="261"/>
      <c r="P19" s="109"/>
      <c r="Q19" s="110"/>
      <c r="R19" s="111"/>
      <c r="S19" s="112"/>
      <c r="T19" s="113"/>
      <c r="U19" s="114"/>
      <c r="V19" s="115">
        <f t="shared" si="4"/>
        <v>0</v>
      </c>
      <c r="W19" s="116">
        <f t="shared" si="5"/>
        <v>0</v>
      </c>
      <c r="X19" s="111"/>
      <c r="Y19" s="107"/>
      <c r="Z19" s="117"/>
    </row>
    <row r="20" spans="1:26" ht="30" x14ac:dyDescent="0.25">
      <c r="A20" s="21" t="s">
        <v>256</v>
      </c>
      <c r="B20" s="56" t="s">
        <v>165</v>
      </c>
      <c r="C20" s="56" t="s">
        <v>192</v>
      </c>
      <c r="D20" s="73">
        <f>IF($G$2=נוסחאות!$N$2,נוסחאות!N4,IF($G$2=נוסחאות!$R$2,נוסחאות!R4,0))</f>
        <v>0</v>
      </c>
      <c r="E20" s="34">
        <f>IF($G$2=נוסחאות!$N$2,נוסחאות!O4,IF($G$2=נוסחאות!$R$2,נוסחאות!S4,0))</f>
        <v>0</v>
      </c>
      <c r="F20" s="35">
        <f>IF($G$2=נוסחאות!$N$2,נוסחאות!P4*$F$1,IF($G$2=נוסחאות!$R$2,נוסחאות!T4*$F$1,0))</f>
        <v>0</v>
      </c>
      <c r="G20" s="34">
        <f t="shared" si="0"/>
        <v>0</v>
      </c>
      <c r="I20" s="251"/>
      <c r="J20" s="34">
        <f t="shared" si="1"/>
        <v>0</v>
      </c>
      <c r="K20" s="36" t="str">
        <f t="shared" si="2"/>
        <v/>
      </c>
      <c r="L20" s="252" t="str">
        <f t="shared" si="3"/>
        <v/>
      </c>
      <c r="M20" s="261"/>
      <c r="N20" s="261"/>
      <c r="P20" s="109"/>
      <c r="Q20" s="110"/>
      <c r="R20" s="111"/>
      <c r="S20" s="112"/>
      <c r="T20" s="113"/>
      <c r="U20" s="114"/>
      <c r="V20" s="115">
        <f t="shared" si="4"/>
        <v>0</v>
      </c>
      <c r="W20" s="116">
        <f t="shared" si="5"/>
        <v>0</v>
      </c>
      <c r="X20" s="111"/>
      <c r="Y20" s="107"/>
      <c r="Z20" s="117"/>
    </row>
    <row r="21" spans="1:26" s="48" customFormat="1" ht="15" customHeight="1" x14ac:dyDescent="0.25">
      <c r="A21" s="33" t="s">
        <v>464</v>
      </c>
      <c r="B21" s="66" t="s">
        <v>257</v>
      </c>
      <c r="C21" s="44"/>
      <c r="D21" s="44"/>
      <c r="E21" s="81"/>
      <c r="F21" s="69"/>
      <c r="G21" s="228">
        <f>SUM(G6:G20)</f>
        <v>0</v>
      </c>
      <c r="I21" s="235"/>
      <c r="J21" s="228">
        <f>SUM(J6:J20)</f>
        <v>0</v>
      </c>
      <c r="K21" s="49" t="str">
        <f t="shared" si="2"/>
        <v/>
      </c>
      <c r="L21" s="65" t="str">
        <f>B21</f>
        <v>סה"כ מטבח מרכזי כולל מע"מ</v>
      </c>
      <c r="M21" s="65"/>
      <c r="N21" s="21"/>
      <c r="P21" s="228">
        <f>SUM(P6:P20)</f>
        <v>0</v>
      </c>
      <c r="Q21" s="149"/>
      <c r="R21" s="150"/>
      <c r="S21" s="151"/>
      <c r="T21" s="152"/>
      <c r="U21" s="228">
        <f>SUM(U6:U20)</f>
        <v>0</v>
      </c>
      <c r="V21" s="115">
        <f t="shared" ref="V21" si="14">IF(U21="",0,U21-J21)</f>
        <v>0</v>
      </c>
      <c r="W21" s="116">
        <f t="shared" ref="W21" si="15">IF(U21=0,0,V21/J21)</f>
        <v>0</v>
      </c>
      <c r="X21" s="150"/>
      <c r="Y21" s="154"/>
      <c r="Z21" s="155"/>
    </row>
    <row r="22" spans="1:26" s="48" customFormat="1" x14ac:dyDescent="0.25">
      <c r="A22" s="238">
        <v>3.2</v>
      </c>
      <c r="B22" s="44"/>
      <c r="C22" s="58" t="s">
        <v>258</v>
      </c>
      <c r="D22" s="58"/>
      <c r="E22" s="59"/>
      <c r="F22" s="223"/>
      <c r="G22" s="71"/>
      <c r="I22" s="239"/>
      <c r="J22" s="58" t="str">
        <f>C22</f>
        <v>סלון מרכזי</v>
      </c>
      <c r="K22" s="58"/>
      <c r="L22" s="58"/>
      <c r="M22" s="58"/>
      <c r="N22" s="71"/>
      <c r="P22" s="248" t="str">
        <f>C22</f>
        <v>סלון מרכזי</v>
      </c>
      <c r="Q22" s="156"/>
      <c r="R22" s="156"/>
      <c r="S22" s="158"/>
      <c r="T22" s="159"/>
      <c r="U22" s="160"/>
      <c r="V22" s="161"/>
      <c r="W22" s="162"/>
      <c r="X22" s="156"/>
      <c r="Y22" s="247"/>
      <c r="Z22" s="164"/>
    </row>
    <row r="23" spans="1:26" x14ac:dyDescent="0.25">
      <c r="A23" s="21" t="s">
        <v>259</v>
      </c>
      <c r="B23" s="224" t="s">
        <v>159</v>
      </c>
      <c r="C23" s="56" t="s">
        <v>52</v>
      </c>
      <c r="D23" s="73">
        <f>IF($G$2=נוסחאות!$N$2,נוסחאות!N32,IF($G$2=נוסחאות!$R$2,נוסחאות!R32,0))</f>
        <v>0</v>
      </c>
      <c r="E23" s="34">
        <f>IF($G$2=נוסחאות!$N$2,נוסחאות!O32,IF($G$2=נוסחאות!$R$2,נוסחאות!S32,0))</f>
        <v>0</v>
      </c>
      <c r="F23" s="35">
        <f>IF($G$2=נוסחאות!$N$2,נוסחאות!P32*$F$1,IF($G$2=נוסחאות!$R$2,נוסחאות!T32*$F$1,0))</f>
        <v>0</v>
      </c>
      <c r="G23" s="34">
        <f t="shared" ref="G23:G38" si="16">F23*E23</f>
        <v>0</v>
      </c>
      <c r="I23" s="251"/>
      <c r="J23" s="34">
        <f t="shared" ref="J23:J38" si="17">IF(G23=0,0,I23*E23)</f>
        <v>0</v>
      </c>
      <c r="K23" s="36" t="str">
        <f t="shared" ref="K23:K26" si="18">IF(J23=0,"",IF(OR(J23-G23&gt;0,J23-G23&lt;0), (J23-G23)/G23, ""))</f>
        <v/>
      </c>
      <c r="L23" s="252" t="str">
        <f t="shared" ref="L23:L38" si="19">IF(I23&gt;F23,"יש להסביר חריגה","")</f>
        <v/>
      </c>
      <c r="M23" s="261"/>
      <c r="N23" s="261"/>
      <c r="P23" s="109"/>
      <c r="Q23" s="110"/>
      <c r="R23" s="111"/>
      <c r="S23" s="112"/>
      <c r="T23" s="113"/>
      <c r="U23" s="114"/>
      <c r="V23" s="115">
        <f t="shared" ref="V23:V26" si="20">IF(U23="",0,U23-J23)</f>
        <v>0</v>
      </c>
      <c r="W23" s="116">
        <f t="shared" ref="W23:W26" si="21">IF(U23=0,0,V23/J23)</f>
        <v>0</v>
      </c>
      <c r="X23" s="111"/>
      <c r="Y23" s="107"/>
      <c r="Z23" s="117"/>
    </row>
    <row r="24" spans="1:26" x14ac:dyDescent="0.25">
      <c r="A24" s="21" t="s">
        <v>260</v>
      </c>
      <c r="B24" s="37"/>
      <c r="C24" s="56" t="s">
        <v>198</v>
      </c>
      <c r="D24" s="73">
        <f>IF($G$2=נוסחאות!$N$2,נוסחאות!N33,IF($G$2=נוסחאות!$R$2,נוסחאות!R33,0))</f>
        <v>0</v>
      </c>
      <c r="E24" s="34">
        <f>IF($G$2=נוסחאות!$N$2,נוסחאות!O33,IF($G$2=נוסחאות!$R$2,נוסחאות!S33,0))</f>
        <v>0</v>
      </c>
      <c r="F24" s="35">
        <f>IF($G$2=נוסחאות!$N$2,נוסחאות!P33*$F$1,IF($G$2=נוסחאות!$R$2,נוסחאות!T33*$F$1,0))</f>
        <v>0</v>
      </c>
      <c r="G24" s="34">
        <f t="shared" si="16"/>
        <v>0</v>
      </c>
      <c r="I24" s="251"/>
      <c r="J24" s="34">
        <f t="shared" si="17"/>
        <v>0</v>
      </c>
      <c r="K24" s="36" t="str">
        <f t="shared" si="18"/>
        <v/>
      </c>
      <c r="L24" s="252" t="str">
        <f t="shared" si="19"/>
        <v/>
      </c>
      <c r="M24" s="261"/>
      <c r="N24" s="261"/>
      <c r="P24" s="109"/>
      <c r="Q24" s="110"/>
      <c r="R24" s="111"/>
      <c r="S24" s="112"/>
      <c r="T24" s="113"/>
      <c r="U24" s="114"/>
      <c r="V24" s="115">
        <f t="shared" si="20"/>
        <v>0</v>
      </c>
      <c r="W24" s="116">
        <f t="shared" si="21"/>
        <v>0</v>
      </c>
      <c r="X24" s="111"/>
      <c r="Y24" s="107"/>
      <c r="Z24" s="117"/>
    </row>
    <row r="25" spans="1:26" x14ac:dyDescent="0.25">
      <c r="A25" s="21" t="s">
        <v>261</v>
      </c>
      <c r="B25" s="37"/>
      <c r="C25" s="56" t="s">
        <v>429</v>
      </c>
      <c r="D25" s="73">
        <f>IF($G$2=נוסחאות!$N$2,נוסחאות!N34,IF($G$2=נוסחאות!$R$2,נוסחאות!R34,0))</f>
        <v>0</v>
      </c>
      <c r="E25" s="34">
        <f>IF($G$2=נוסחאות!$N$2,נוסחאות!O34,IF($G$2=נוסחאות!$R$2,נוסחאות!S34,0))</f>
        <v>0</v>
      </c>
      <c r="F25" s="35">
        <f>IF($G$2=נוסחאות!$N$2,נוסחאות!P34*$F$1,IF($G$2=נוסחאות!$R$2,נוסחאות!T34*$F$1,0))</f>
        <v>0</v>
      </c>
      <c r="G25" s="34">
        <f t="shared" si="16"/>
        <v>0</v>
      </c>
      <c r="I25" s="251"/>
      <c r="J25" s="34">
        <f t="shared" si="17"/>
        <v>0</v>
      </c>
      <c r="K25" s="36" t="str">
        <f t="shared" si="18"/>
        <v/>
      </c>
      <c r="L25" s="252" t="str">
        <f t="shared" si="19"/>
        <v/>
      </c>
      <c r="M25" s="261"/>
      <c r="N25" s="261"/>
      <c r="P25" s="109"/>
      <c r="Q25" s="110"/>
      <c r="R25" s="111"/>
      <c r="S25" s="112"/>
      <c r="T25" s="113"/>
      <c r="U25" s="114"/>
      <c r="V25" s="115">
        <f t="shared" si="20"/>
        <v>0</v>
      </c>
      <c r="W25" s="116">
        <f t="shared" si="21"/>
        <v>0</v>
      </c>
      <c r="X25" s="111"/>
      <c r="Y25" s="107"/>
      <c r="Z25" s="117"/>
    </row>
    <row r="26" spans="1:26" x14ac:dyDescent="0.25">
      <c r="A26" s="21" t="s">
        <v>262</v>
      </c>
      <c r="B26" s="37"/>
      <c r="C26" s="56" t="s">
        <v>31</v>
      </c>
      <c r="D26" s="73">
        <f>IF($G$2=נוסחאות!$N$2,נוסחאות!N15,IF($G$2=נוסחאות!$R$2,נוסחאות!R15,0))</f>
        <v>0</v>
      </c>
      <c r="E26" s="34">
        <f>IF($G$2=נוסחאות!$N$2,נוסחאות!O15,IF($G$2=נוסחאות!$R$2,נוסחאות!S15,0))</f>
        <v>0</v>
      </c>
      <c r="F26" s="35">
        <f>IF($G$2=נוסחאות!$N$2,נוסחאות!P15*$F$1,IF($G$2=נוסחאות!$R$2,נוסחאות!T15*$F$1,0))</f>
        <v>0</v>
      </c>
      <c r="G26" s="34">
        <f t="shared" si="16"/>
        <v>0</v>
      </c>
      <c r="I26" s="251"/>
      <c r="J26" s="34">
        <f t="shared" si="17"/>
        <v>0</v>
      </c>
      <c r="K26" s="36" t="str">
        <f t="shared" si="18"/>
        <v/>
      </c>
      <c r="L26" s="252" t="str">
        <f t="shared" si="19"/>
        <v/>
      </c>
      <c r="M26" s="261"/>
      <c r="N26" s="261"/>
      <c r="P26" s="109"/>
      <c r="Q26" s="110"/>
      <c r="R26" s="111"/>
      <c r="S26" s="112"/>
      <c r="T26" s="113"/>
      <c r="U26" s="114"/>
      <c r="V26" s="115">
        <f t="shared" si="20"/>
        <v>0</v>
      </c>
      <c r="W26" s="116">
        <f t="shared" si="21"/>
        <v>0</v>
      </c>
      <c r="X26" s="111"/>
      <c r="Y26" s="107"/>
      <c r="Z26" s="117"/>
    </row>
    <row r="27" spans="1:26" x14ac:dyDescent="0.25">
      <c r="A27" s="21" t="s">
        <v>263</v>
      </c>
      <c r="B27" s="38"/>
      <c r="C27" s="56" t="s">
        <v>430</v>
      </c>
      <c r="D27" s="73">
        <f>IF($G$2=נוסחאות!$N$2,נוסחאות!N36,IF($G$2=נוסחאות!$R$2,נוסחאות!R36,0))</f>
        <v>0</v>
      </c>
      <c r="E27" s="34">
        <f>IF($G$2=נוסחאות!$N$2,נוסחאות!O36,IF($G$2=נוסחאות!$R$2,נוסחאות!S36,0))</f>
        <v>0</v>
      </c>
      <c r="F27" s="35">
        <f>IF($G$2=נוסחאות!$N$2,נוסחאות!P36*$F$1,IF($G$2=נוסחאות!$R$2,נוסחאות!T36*$F$1,0))</f>
        <v>0</v>
      </c>
      <c r="G27" s="34">
        <f t="shared" si="16"/>
        <v>0</v>
      </c>
      <c r="I27" s="251"/>
      <c r="J27" s="34">
        <f t="shared" si="17"/>
        <v>0</v>
      </c>
      <c r="K27" s="36" t="str">
        <f t="shared" ref="K27:K28" si="22">IF(J27=0,"",IF(OR(J27-G27&gt;0,J27-G27&lt;0), (J27-G27)/G27, ""))</f>
        <v/>
      </c>
      <c r="L27" s="252" t="str">
        <f t="shared" si="19"/>
        <v/>
      </c>
      <c r="M27" s="261"/>
      <c r="N27" s="261"/>
      <c r="P27" s="109"/>
      <c r="Q27" s="110"/>
      <c r="R27" s="111"/>
      <c r="S27" s="112"/>
      <c r="T27" s="113"/>
      <c r="U27" s="114"/>
      <c r="V27" s="115">
        <f t="shared" ref="V27:V37" si="23">IF(U27="",0,U27-J27)</f>
        <v>0</v>
      </c>
      <c r="W27" s="116">
        <f t="shared" ref="W27:W37" si="24">IF(U27=0,0,V27/J27)</f>
        <v>0</v>
      </c>
      <c r="X27" s="111"/>
      <c r="Y27" s="107"/>
      <c r="Z27" s="117"/>
    </row>
    <row r="28" spans="1:26" x14ac:dyDescent="0.25">
      <c r="A28" s="21" t="s">
        <v>264</v>
      </c>
      <c r="B28" s="56" t="s">
        <v>177</v>
      </c>
      <c r="C28" s="56" t="s">
        <v>448</v>
      </c>
      <c r="D28" s="73">
        <f>IF($G$2=נוסחאות!$N$2,נוסחאות!N29,IF($G$2=נוסחאות!$R$2,נוסחאות!R29,0))</f>
        <v>0</v>
      </c>
      <c r="E28" s="34">
        <f>IF($G$2=נוסחאות!$N$2,נוסחאות!O29,IF($G$2=נוסחאות!$R$2,נוסחאות!S29,0))</f>
        <v>0</v>
      </c>
      <c r="F28" s="35">
        <f>IF($G$2=נוסחאות!$N$2,נוסחאות!P29*$F$1,IF($G$2=נוסחאות!$R$2,נוסחאות!T29*$F$1,0))</f>
        <v>0</v>
      </c>
      <c r="G28" s="34">
        <f t="shared" si="16"/>
        <v>0</v>
      </c>
      <c r="I28" s="251"/>
      <c r="J28" s="34">
        <f t="shared" si="17"/>
        <v>0</v>
      </c>
      <c r="K28" s="36" t="str">
        <f t="shared" si="22"/>
        <v/>
      </c>
      <c r="L28" s="252" t="str">
        <f t="shared" si="19"/>
        <v/>
      </c>
      <c r="M28" s="261"/>
      <c r="N28" s="261"/>
      <c r="P28" s="109"/>
      <c r="Q28" s="110"/>
      <c r="R28" s="111"/>
      <c r="S28" s="112"/>
      <c r="T28" s="113"/>
      <c r="U28" s="114"/>
      <c r="V28" s="115">
        <f t="shared" si="23"/>
        <v>0</v>
      </c>
      <c r="W28" s="116">
        <f t="shared" si="24"/>
        <v>0</v>
      </c>
      <c r="X28" s="111"/>
      <c r="Y28" s="107"/>
      <c r="Z28" s="117"/>
    </row>
    <row r="29" spans="1:26" ht="30" x14ac:dyDescent="0.25">
      <c r="A29" s="21" t="s">
        <v>265</v>
      </c>
      <c r="B29" s="41" t="s">
        <v>162</v>
      </c>
      <c r="C29" s="56" t="s">
        <v>419</v>
      </c>
      <c r="D29" s="73">
        <f>IF($G$2=נוסחאות!$N$2,נוסחאות!N23,IF($G$2=נוסחאות!$R$2,נוסחאות!R23,0))</f>
        <v>0</v>
      </c>
      <c r="E29" s="34">
        <f>IF($G$2=נוסחאות!$N$2,נוסחאות!O23,IF($G$2=נוסחאות!$R$2,נוסחאות!S23,0))</f>
        <v>0</v>
      </c>
      <c r="F29" s="35">
        <f>IF($G$2=נוסחאות!$N$2,נוסחאות!P23*$F$1,IF($G$2=נוסחאות!$R$2,נוסחאות!T23*$F$1,0))</f>
        <v>0</v>
      </c>
      <c r="G29" s="34">
        <f t="shared" si="16"/>
        <v>0</v>
      </c>
      <c r="I29" s="251"/>
      <c r="J29" s="34">
        <f t="shared" si="17"/>
        <v>0</v>
      </c>
      <c r="K29" s="36" t="str">
        <f t="shared" ref="K29:K33" si="25">IF(J29=0,"",IF(OR(J29-G29&gt;0,J29-G29&lt;0), (J29-G29)/G29, ""))</f>
        <v/>
      </c>
      <c r="L29" s="252" t="str">
        <f t="shared" si="19"/>
        <v/>
      </c>
      <c r="M29" s="261"/>
      <c r="N29" s="261"/>
      <c r="P29" s="109"/>
      <c r="Q29" s="110"/>
      <c r="R29" s="111"/>
      <c r="S29" s="112"/>
      <c r="T29" s="113"/>
      <c r="U29" s="114"/>
      <c r="V29" s="115">
        <f t="shared" si="23"/>
        <v>0</v>
      </c>
      <c r="W29" s="116">
        <f t="shared" si="24"/>
        <v>0</v>
      </c>
      <c r="X29" s="111"/>
      <c r="Y29" s="107"/>
      <c r="Z29" s="117"/>
    </row>
    <row r="30" spans="1:26" x14ac:dyDescent="0.25">
      <c r="A30" s="21" t="s">
        <v>266</v>
      </c>
      <c r="B30" s="42"/>
      <c r="C30" s="56" t="s">
        <v>436</v>
      </c>
      <c r="D30" s="73">
        <f>IF($G$2=נוסחאות!$N$2,נוסחאות!N25,IF($G$2=נוסחאות!$R$2,נוסחאות!R25,0))</f>
        <v>0</v>
      </c>
      <c r="E30" s="34">
        <f>IF($G$2=נוסחאות!$N$2,נוסחאות!O25,IF($G$2=נוסחאות!$R$2,נוסחאות!S25,0))</f>
        <v>0</v>
      </c>
      <c r="F30" s="35">
        <f>IF($G$2=נוסחאות!$N$2,נוסחאות!P25*$F$1,IF($G$2=נוסחאות!$R$2,נוסחאות!T25*$F$1,0))</f>
        <v>0</v>
      </c>
      <c r="G30" s="34">
        <f t="shared" ref="G30:G34" si="26">F30*E30</f>
        <v>0</v>
      </c>
      <c r="I30" s="251"/>
      <c r="J30" s="34">
        <f t="shared" si="17"/>
        <v>0</v>
      </c>
      <c r="K30" s="36" t="str">
        <f t="shared" si="25"/>
        <v/>
      </c>
      <c r="L30" s="252" t="str">
        <f t="shared" si="19"/>
        <v/>
      </c>
      <c r="M30" s="261"/>
      <c r="N30" s="261"/>
      <c r="P30" s="109"/>
      <c r="Q30" s="110"/>
      <c r="R30" s="111"/>
      <c r="S30" s="112"/>
      <c r="T30" s="113"/>
      <c r="U30" s="114"/>
      <c r="V30" s="115">
        <f t="shared" si="23"/>
        <v>0</v>
      </c>
      <c r="W30" s="116">
        <f t="shared" si="24"/>
        <v>0</v>
      </c>
      <c r="X30" s="111"/>
      <c r="Y30" s="107"/>
      <c r="Z30" s="117"/>
    </row>
    <row r="31" spans="1:26" x14ac:dyDescent="0.25">
      <c r="A31" s="21" t="s">
        <v>267</v>
      </c>
      <c r="B31" s="42"/>
      <c r="C31" s="56" t="s">
        <v>43</v>
      </c>
      <c r="D31" s="73">
        <f>IF($G$2=נוסחאות!$N$2,נוסחאות!N26,IF($G$2=נוסחאות!$R$2,נוסחאות!R26,0))</f>
        <v>0</v>
      </c>
      <c r="E31" s="34">
        <f>IF($G$2=נוסחאות!$N$2,נוסחאות!O26,IF($G$2=נוסחאות!$R$2,נוסחאות!S26,0))</f>
        <v>0</v>
      </c>
      <c r="F31" s="35">
        <f>IF($G$2=נוסחאות!$N$2,נוסחאות!P26*$F$1,IF($G$2=נוסחאות!$R$2,נוסחאות!T26*$F$1,0))</f>
        <v>0</v>
      </c>
      <c r="G31" s="34">
        <f t="shared" si="26"/>
        <v>0</v>
      </c>
      <c r="I31" s="251"/>
      <c r="J31" s="34">
        <f t="shared" si="17"/>
        <v>0</v>
      </c>
      <c r="K31" s="36" t="str">
        <f t="shared" si="25"/>
        <v/>
      </c>
      <c r="L31" s="252" t="str">
        <f t="shared" si="19"/>
        <v/>
      </c>
      <c r="M31" s="261"/>
      <c r="N31" s="261"/>
      <c r="P31" s="109"/>
      <c r="Q31" s="110"/>
      <c r="R31" s="111"/>
      <c r="S31" s="112"/>
      <c r="T31" s="113"/>
      <c r="U31" s="114"/>
      <c r="V31" s="115">
        <f t="shared" si="23"/>
        <v>0</v>
      </c>
      <c r="W31" s="116">
        <f t="shared" si="24"/>
        <v>0</v>
      </c>
      <c r="X31" s="111"/>
      <c r="Y31" s="107"/>
      <c r="Z31" s="117"/>
    </row>
    <row r="32" spans="1:26" x14ac:dyDescent="0.25">
      <c r="A32" s="21" t="s">
        <v>268</v>
      </c>
      <c r="B32" s="42"/>
      <c r="C32" s="56" t="s">
        <v>45</v>
      </c>
      <c r="D32" s="73">
        <f>IF($G$2=נוסחאות!$N$2,נוסחאות!N27,IF($G$2=נוסחאות!$R$2,נוסחאות!R27,0))</f>
        <v>0</v>
      </c>
      <c r="E32" s="34">
        <f>IF($G$2=נוסחאות!$N$2,נוסחאות!O27,IF($G$2=נוסחאות!$R$2,נוסחאות!S27,0))</f>
        <v>0</v>
      </c>
      <c r="F32" s="35">
        <f>IF($G$2=נוסחאות!$N$2,נוסחאות!P27*$F$1,IF($G$2=נוסחאות!$R$2,נוסחאות!T27*$F$1,0))</f>
        <v>0</v>
      </c>
      <c r="G32" s="34">
        <f t="shared" ref="G32" si="27">F32*E32</f>
        <v>0</v>
      </c>
      <c r="I32" s="251"/>
      <c r="J32" s="34">
        <f t="shared" si="17"/>
        <v>0</v>
      </c>
      <c r="K32" s="36" t="str">
        <f t="shared" ref="K32" si="28">IF(J32=0,"",IF(OR(J32-G32&gt;0,J32-G32&lt;0), (J32-G32)/G32, ""))</f>
        <v/>
      </c>
      <c r="L32" s="252" t="str">
        <f t="shared" si="19"/>
        <v/>
      </c>
      <c r="M32" s="261"/>
      <c r="N32" s="261"/>
      <c r="P32" s="109"/>
      <c r="Q32" s="110"/>
      <c r="R32" s="111"/>
      <c r="S32" s="112"/>
      <c r="T32" s="113"/>
      <c r="U32" s="114"/>
      <c r="V32" s="115">
        <f t="shared" si="23"/>
        <v>0</v>
      </c>
      <c r="W32" s="116">
        <f t="shared" si="24"/>
        <v>0</v>
      </c>
      <c r="X32" s="111"/>
      <c r="Y32" s="107"/>
      <c r="Z32" s="117"/>
    </row>
    <row r="33" spans="1:26" x14ac:dyDescent="0.25">
      <c r="A33" s="21" t="s">
        <v>269</v>
      </c>
      <c r="B33" s="42"/>
      <c r="C33" s="56" t="s">
        <v>321</v>
      </c>
      <c r="D33" s="73">
        <f>IF($G$2=נוסחאות!$N$2,נוסחאות!N28,IF($G$2=נוסחאות!$R$2,נוסחאות!R28,0))</f>
        <v>0</v>
      </c>
      <c r="E33" s="34">
        <f>IF($G$2=נוסחאות!$N$2,נוסחאות!O28,IF($G$2=נוסחאות!$R$2,נוסחאות!S28,0))</f>
        <v>0</v>
      </c>
      <c r="F33" s="35">
        <f>IF($G$2=נוסחאות!$N$2,נוסחאות!P28*$F$1,IF($G$2=נוסחאות!$R$2,נוסחאות!T28*$F$1,0))</f>
        <v>0</v>
      </c>
      <c r="G33" s="34">
        <f t="shared" si="26"/>
        <v>0</v>
      </c>
      <c r="I33" s="251"/>
      <c r="J33" s="34">
        <f t="shared" si="17"/>
        <v>0</v>
      </c>
      <c r="K33" s="36" t="str">
        <f t="shared" si="25"/>
        <v/>
      </c>
      <c r="L33" s="252" t="str">
        <f t="shared" si="19"/>
        <v/>
      </c>
      <c r="M33" s="261"/>
      <c r="N33" s="261"/>
      <c r="P33" s="109"/>
      <c r="Q33" s="110"/>
      <c r="R33" s="111"/>
      <c r="S33" s="112"/>
      <c r="T33" s="113"/>
      <c r="U33" s="114"/>
      <c r="V33" s="115">
        <f t="shared" si="23"/>
        <v>0</v>
      </c>
      <c r="W33" s="116">
        <f t="shared" si="24"/>
        <v>0</v>
      </c>
      <c r="X33" s="111"/>
      <c r="Y33" s="107"/>
      <c r="Z33" s="117"/>
    </row>
    <row r="34" spans="1:26" x14ac:dyDescent="0.25">
      <c r="A34" s="21" t="s">
        <v>270</v>
      </c>
      <c r="B34" s="37"/>
      <c r="C34" s="56" t="s">
        <v>41</v>
      </c>
      <c r="D34" s="73">
        <f>IF($G$2=נוסחאות!$N$2,נוסחאות!N24,IF($G$2=נוסחאות!$R$2,נוסחאות!R24,0))</f>
        <v>0</v>
      </c>
      <c r="E34" s="34">
        <f>IF($G$2=נוסחאות!$N$2,נוסחאות!O24,IF($G$2=נוסחאות!$R$2,נוסחאות!S24,0))</f>
        <v>0</v>
      </c>
      <c r="F34" s="35">
        <f>IF($G$2=נוסחאות!$N$2,נוסחאות!P24*$F$1,IF($G$2=נוסחאות!$R$2,נוסחאות!T24*$F$1,0))</f>
        <v>0</v>
      </c>
      <c r="G34" s="34">
        <f t="shared" si="26"/>
        <v>0</v>
      </c>
      <c r="I34" s="251"/>
      <c r="J34" s="34">
        <f t="shared" si="17"/>
        <v>0</v>
      </c>
      <c r="K34" s="36" t="str">
        <f t="shared" ref="K34" si="29">IF(J34=0,"",IF(OR(J34-G34&gt;0,J34-G34&lt;0), (J34-G34)/G34, ""))</f>
        <v/>
      </c>
      <c r="L34" s="252" t="str">
        <f t="shared" si="19"/>
        <v/>
      </c>
      <c r="M34" s="261"/>
      <c r="N34" s="261"/>
      <c r="P34" s="109"/>
      <c r="Q34" s="110"/>
      <c r="R34" s="111"/>
      <c r="S34" s="112"/>
      <c r="T34" s="113"/>
      <c r="U34" s="114"/>
      <c r="V34" s="115">
        <f t="shared" si="23"/>
        <v>0</v>
      </c>
      <c r="W34" s="116">
        <f t="shared" si="24"/>
        <v>0</v>
      </c>
      <c r="X34" s="111"/>
      <c r="Y34" s="107"/>
      <c r="Z34" s="117"/>
    </row>
    <row r="35" spans="1:26" x14ac:dyDescent="0.25">
      <c r="A35" s="21" t="s">
        <v>271</v>
      </c>
      <c r="B35" s="37"/>
      <c r="C35" s="56" t="s">
        <v>417</v>
      </c>
      <c r="D35" s="73">
        <f>IF($G$2=נוסחאות!$N$2,נוסחאות!N30,IF($G$2=נוסחאות!$R$2,נוסחאות!R30,0))</f>
        <v>0</v>
      </c>
      <c r="E35" s="34">
        <f>IF($G$2=נוסחאות!$N$2,נוסחאות!O30,IF($G$2=נוסחאות!$R$2,נוסחאות!S30,0))</f>
        <v>0</v>
      </c>
      <c r="F35" s="35">
        <f>IF($G$2=נוסחאות!$N$2,נוסחאות!P30*$F$1,IF($G$2=נוסחאות!$R$2,נוסחאות!T30*$F$1,0))</f>
        <v>0</v>
      </c>
      <c r="G35" s="34">
        <f t="shared" si="16"/>
        <v>0</v>
      </c>
      <c r="I35" s="251"/>
      <c r="J35" s="34">
        <f t="shared" si="17"/>
        <v>0</v>
      </c>
      <c r="K35" s="36" t="str">
        <f t="shared" ref="K35:K39" si="30">IF(J35=0,"",IF(OR(J35-G35&gt;0,J35-G35&lt;0), (J35-G35)/G35, ""))</f>
        <v/>
      </c>
      <c r="L35" s="252" t="str">
        <f t="shared" si="19"/>
        <v/>
      </c>
      <c r="M35" s="261"/>
      <c r="N35" s="261"/>
      <c r="P35" s="109"/>
      <c r="Q35" s="110"/>
      <c r="R35" s="111"/>
      <c r="S35" s="112"/>
      <c r="T35" s="113"/>
      <c r="U35" s="114"/>
      <c r="V35" s="115">
        <f t="shared" si="23"/>
        <v>0</v>
      </c>
      <c r="W35" s="116">
        <f t="shared" si="24"/>
        <v>0</v>
      </c>
      <c r="X35" s="111"/>
      <c r="Y35" s="107"/>
      <c r="Z35" s="117"/>
    </row>
    <row r="36" spans="1:26" x14ac:dyDescent="0.25">
      <c r="A36" s="21" t="s">
        <v>272</v>
      </c>
      <c r="B36" s="38"/>
      <c r="C36" s="56" t="s">
        <v>51</v>
      </c>
      <c r="D36" s="73">
        <f>IF($G$2=נוסחאות!$N$2,נוסחאות!N31,IF($G$2=נוסחאות!$R$2,נוסחאות!R31,0))</f>
        <v>0</v>
      </c>
      <c r="E36" s="34">
        <f>IF($G$2=נוסחאות!$N$2,נוסחאות!O31,IF($G$2=נוסחאות!$R$2,נוסחאות!S31,0))</f>
        <v>0</v>
      </c>
      <c r="F36" s="35">
        <f>IF($G$2=נוסחאות!$N$2,נוסחאות!P31*$F$1,IF($G$2=נוסחאות!$R$2,נוסחאות!T31*$F$1,0))</f>
        <v>0</v>
      </c>
      <c r="G36" s="34">
        <f t="shared" si="16"/>
        <v>0</v>
      </c>
      <c r="I36" s="251"/>
      <c r="J36" s="34">
        <f t="shared" si="17"/>
        <v>0</v>
      </c>
      <c r="K36" s="36" t="str">
        <f t="shared" si="30"/>
        <v/>
      </c>
      <c r="L36" s="252" t="str">
        <f t="shared" si="19"/>
        <v/>
      </c>
      <c r="M36" s="261"/>
      <c r="N36" s="261"/>
      <c r="P36" s="109"/>
      <c r="Q36" s="110"/>
      <c r="R36" s="111"/>
      <c r="S36" s="112"/>
      <c r="T36" s="113"/>
      <c r="U36" s="114"/>
      <c r="V36" s="115">
        <f t="shared" si="23"/>
        <v>0</v>
      </c>
      <c r="W36" s="116">
        <f t="shared" si="24"/>
        <v>0</v>
      </c>
      <c r="X36" s="111"/>
      <c r="Y36" s="107"/>
      <c r="Z36" s="117"/>
    </row>
    <row r="37" spans="1:26" ht="30" x14ac:dyDescent="0.25">
      <c r="A37" s="21" t="s">
        <v>273</v>
      </c>
      <c r="B37" s="41" t="s">
        <v>165</v>
      </c>
      <c r="C37" s="56" t="s">
        <v>166</v>
      </c>
      <c r="D37" s="73">
        <f>IF($G$2=נוסחאות!$N$2,נוסחאות!N22,IF($G$2=נוסחאות!$R$2,נוסחאות!R22,0))</f>
        <v>0</v>
      </c>
      <c r="E37" s="34">
        <f>IF($G$2=נוסחאות!$N$2,נוסחאות!O22,IF($G$2=נוסחאות!$R$2,נוסחאות!S22,0))</f>
        <v>0</v>
      </c>
      <c r="F37" s="34">
        <f>IF($G$2=נוסחאות!$N$2,נוסחאות!P22,IF($G$2=נוסחאות!$R$2,נוסחאות!T22,0))</f>
        <v>0</v>
      </c>
      <c r="G37" s="63">
        <f t="shared" si="16"/>
        <v>0</v>
      </c>
      <c r="I37" s="251"/>
      <c r="J37" s="34">
        <f t="shared" si="17"/>
        <v>0</v>
      </c>
      <c r="K37" s="36" t="str">
        <f t="shared" si="30"/>
        <v/>
      </c>
      <c r="L37" s="252" t="str">
        <f t="shared" si="19"/>
        <v/>
      </c>
      <c r="M37" s="261"/>
      <c r="N37" s="261"/>
      <c r="P37" s="109"/>
      <c r="Q37" s="110"/>
      <c r="R37" s="111"/>
      <c r="S37" s="112"/>
      <c r="T37" s="113"/>
      <c r="U37" s="114"/>
      <c r="V37" s="115">
        <f t="shared" si="23"/>
        <v>0</v>
      </c>
      <c r="W37" s="116">
        <f t="shared" si="24"/>
        <v>0</v>
      </c>
      <c r="X37" s="111"/>
      <c r="Y37" s="107"/>
      <c r="Z37" s="117"/>
    </row>
    <row r="38" spans="1:26" x14ac:dyDescent="0.25">
      <c r="A38" s="21" t="s">
        <v>274</v>
      </c>
      <c r="B38" s="38"/>
      <c r="C38" s="56" t="s">
        <v>445</v>
      </c>
      <c r="D38" s="73">
        <f>IF($G$2=נוסחאות!$N$2,נוסחאות!N35,IF($G$2=נוסחאות!$R$2,נוסחאות!R35,0))</f>
        <v>0</v>
      </c>
      <c r="E38" s="34">
        <f>IF($G$2=נוסחאות!$N$2,נוסחאות!O35,IF($G$2=נוסחאות!$R$2,נוסחאות!S35,0))</f>
        <v>0</v>
      </c>
      <c r="F38" s="35">
        <f>IF($G$2=נוסחאות!$N$2,נוסחאות!P35*$F$1,IF($G$2=נוסחאות!$R$2,נוסחאות!T35*$F$1,0))</f>
        <v>0</v>
      </c>
      <c r="G38" s="63">
        <f t="shared" si="16"/>
        <v>0</v>
      </c>
      <c r="I38" s="251"/>
      <c r="J38" s="34">
        <f t="shared" si="17"/>
        <v>0</v>
      </c>
      <c r="K38" s="36" t="str">
        <f t="shared" si="30"/>
        <v/>
      </c>
      <c r="L38" s="252" t="str">
        <f t="shared" si="19"/>
        <v/>
      </c>
      <c r="M38" s="261"/>
      <c r="N38" s="261"/>
      <c r="P38" s="109"/>
      <c r="Q38" s="110"/>
      <c r="R38" s="111"/>
      <c r="S38" s="112"/>
      <c r="T38" s="113"/>
      <c r="U38" s="114"/>
      <c r="V38" s="115">
        <f t="shared" ref="V38" si="31">IF(U38="",0,U38-J38)</f>
        <v>0</v>
      </c>
      <c r="W38" s="116">
        <f t="shared" ref="W38" si="32">IF(U38=0,0,V38/J38)</f>
        <v>0</v>
      </c>
      <c r="X38" s="111"/>
      <c r="Y38" s="107"/>
      <c r="Z38" s="117"/>
    </row>
    <row r="39" spans="1:26" s="48" customFormat="1" ht="15.75" customHeight="1" x14ac:dyDescent="0.25">
      <c r="A39" s="240" t="s">
        <v>275</v>
      </c>
      <c r="B39" s="66" t="s">
        <v>276</v>
      </c>
      <c r="C39" s="44"/>
      <c r="D39" s="44"/>
      <c r="E39" s="67"/>
      <c r="F39" s="69"/>
      <c r="G39" s="228">
        <f>SUM(G23:G38)</f>
        <v>0</v>
      </c>
      <c r="I39" s="235"/>
      <c r="J39" s="228">
        <f>SUM(J23:J38)</f>
        <v>0</v>
      </c>
      <c r="K39" s="36" t="str">
        <f t="shared" si="30"/>
        <v/>
      </c>
      <c r="L39" s="65" t="str">
        <f>B39</f>
        <v>סה"כ סלון מרכזי כולל מע"מ</v>
      </c>
      <c r="M39" s="65"/>
      <c r="N39" s="21"/>
      <c r="P39" s="228">
        <f>SUM(P23:P38)</f>
        <v>0</v>
      </c>
      <c r="Q39" s="149"/>
      <c r="R39" s="150"/>
      <c r="S39" s="151"/>
      <c r="T39" s="152"/>
      <c r="U39" s="228">
        <f>SUM(U23:U38)</f>
        <v>0</v>
      </c>
      <c r="V39" s="115">
        <f t="shared" ref="V39" si="33">IF(U39="",0,U39-J39)</f>
        <v>0</v>
      </c>
      <c r="W39" s="116">
        <f t="shared" ref="W39" si="34">IF(U39=0,0,V39/J39)</f>
        <v>0</v>
      </c>
      <c r="X39" s="150"/>
      <c r="Y39" s="154"/>
      <c r="Z39" s="155"/>
    </row>
    <row r="40" spans="1:26" x14ac:dyDescent="0.25">
      <c r="A40" s="230">
        <v>3.3</v>
      </c>
      <c r="B40" s="44"/>
      <c r="C40" s="44" t="s">
        <v>277</v>
      </c>
      <c r="D40" s="44"/>
      <c r="E40" s="67"/>
      <c r="F40" s="241"/>
      <c r="G40" s="69"/>
      <c r="I40" s="242"/>
      <c r="J40" s="44" t="str">
        <f>C40</f>
        <v xml:space="preserve">ציוד עזרה ראשונה </v>
      </c>
      <c r="K40" s="44"/>
      <c r="L40" s="44"/>
      <c r="M40" s="44"/>
      <c r="N40" s="69"/>
      <c r="P40" s="248" t="str">
        <f>C40</f>
        <v xml:space="preserve">ציוד עזרה ראשונה </v>
      </c>
      <c r="Q40" s="156"/>
      <c r="R40" s="156"/>
      <c r="S40" s="158"/>
      <c r="T40" s="159"/>
      <c r="U40" s="160"/>
      <c r="V40" s="161"/>
      <c r="W40" s="162"/>
      <c r="X40" s="156"/>
      <c r="Y40" s="247"/>
      <c r="Z40" s="164"/>
    </row>
    <row r="41" spans="1:26" ht="30" x14ac:dyDescent="0.25">
      <c r="A41" s="21" t="s">
        <v>278</v>
      </c>
      <c r="B41" s="56" t="s">
        <v>165</v>
      </c>
      <c r="C41" s="56" t="s">
        <v>426</v>
      </c>
      <c r="D41" s="62">
        <f>IF($G$2=נוסחאות!$N$2,נוסחאות!N46,IF($G$2=נוסחאות!$R$2,נוסחאות!R46,0))</f>
        <v>0</v>
      </c>
      <c r="E41" s="63">
        <f>IF($G$2=נוסחאות!$N$2,נוסחאות!O46,IF($G$2=נוסחאות!$R$2,נוסחאות!S46,0))</f>
        <v>0</v>
      </c>
      <c r="F41" s="227">
        <f>IF($G$2=נוסחאות!$N$2,נוסחאות!P46*$F$1,IF($G$2=נוסחאות!$R$2,נוסחאות!T46*$F$1,0))</f>
        <v>0</v>
      </c>
      <c r="G41" s="63">
        <f>F41*E41</f>
        <v>0</v>
      </c>
      <c r="I41" s="251"/>
      <c r="J41" s="34">
        <f t="shared" ref="J41:J43" si="35">IF(G41=0,0,I41*E41)</f>
        <v>0</v>
      </c>
      <c r="K41" s="36" t="str">
        <f t="shared" ref="K41:K43" si="36">IF(J41=0,"",IF(OR(J41-G41&gt;0,J41-G41&lt;0), (J41-G41)/G41, ""))</f>
        <v/>
      </c>
      <c r="L41" s="252" t="str">
        <f t="shared" ref="L41:L43" si="37">IF(I41&gt;F41,"יש להסביר חריגה","")</f>
        <v/>
      </c>
      <c r="M41" s="261"/>
      <c r="N41" s="261"/>
      <c r="P41" s="109"/>
      <c r="Q41" s="110"/>
      <c r="R41" s="111"/>
      <c r="S41" s="112"/>
      <c r="T41" s="113"/>
      <c r="U41" s="114"/>
      <c r="V41" s="115">
        <f t="shared" ref="V41:V44" si="38">IF(U41="",0,U41-J41)</f>
        <v>0</v>
      </c>
      <c r="W41" s="116">
        <f t="shared" ref="W41:W44" si="39">IF(U41=0,0,V41/J41)</f>
        <v>0</v>
      </c>
      <c r="X41" s="111"/>
      <c r="Y41" s="107"/>
      <c r="Z41" s="117"/>
    </row>
    <row r="42" spans="1:26" ht="30" x14ac:dyDescent="0.25">
      <c r="A42" s="21" t="s">
        <v>279</v>
      </c>
      <c r="B42" s="41" t="s">
        <v>162</v>
      </c>
      <c r="C42" s="56" t="s">
        <v>61</v>
      </c>
      <c r="D42" s="62">
        <f>IF($G$2=נוסחאות!$N$2,נוסחאות!N47,IF($G$2=נוסחאות!$R$2,נוסחאות!R47,0))</f>
        <v>0</v>
      </c>
      <c r="E42" s="63">
        <f>IF($G$2=נוסחאות!$N$2,נוסחאות!O47,IF($G$2=נוסחאות!$R$2,נוסחאות!S47,0))</f>
        <v>0</v>
      </c>
      <c r="F42" s="227">
        <f>IF($G$2=נוסחאות!$N$2,נוסחאות!P47*$F$1,IF($G$2=נוסחאות!$R$2,נוסחאות!T47*$F$1,0))</f>
        <v>0</v>
      </c>
      <c r="G42" s="63">
        <f>F42*E42</f>
        <v>0</v>
      </c>
      <c r="I42" s="251"/>
      <c r="J42" s="34">
        <f t="shared" si="35"/>
        <v>0</v>
      </c>
      <c r="K42" s="36"/>
      <c r="L42" s="252" t="str">
        <f t="shared" si="37"/>
        <v/>
      </c>
      <c r="M42" s="261"/>
      <c r="N42" s="261"/>
      <c r="P42" s="109"/>
      <c r="Q42" s="110"/>
      <c r="R42" s="111"/>
      <c r="S42" s="112"/>
      <c r="T42" s="113"/>
      <c r="U42" s="114"/>
      <c r="V42" s="115">
        <f t="shared" si="38"/>
        <v>0</v>
      </c>
      <c r="W42" s="116">
        <f t="shared" si="39"/>
        <v>0</v>
      </c>
      <c r="X42" s="111"/>
      <c r="Y42" s="107"/>
      <c r="Z42" s="117"/>
    </row>
    <row r="43" spans="1:26" x14ac:dyDescent="0.25">
      <c r="A43" s="21" t="s">
        <v>280</v>
      </c>
      <c r="B43" s="41" t="s">
        <v>177</v>
      </c>
      <c r="C43" s="56" t="s">
        <v>432</v>
      </c>
      <c r="D43" s="62">
        <f>IF($G$2=נוסחאות!$N$2,נוסחאות!N53,IF($G$2=נוסחאות!$R$2,נוסחאות!R53,0))</f>
        <v>0</v>
      </c>
      <c r="E43" s="63">
        <f>IF($G$2=נוסחאות!$N$2,נוסחאות!O53,IF($G$2=נוסחאות!$R$2,נוסחאות!S53,0))</f>
        <v>0</v>
      </c>
      <c r="F43" s="227">
        <f>IF($G$2=נוסחאות!$N$2,נוסחאות!P53*$F$1,IF($G$2=נוסחאות!$R$2,נוסחאות!T53*$F$1,0))</f>
        <v>0</v>
      </c>
      <c r="G43" s="63">
        <f>F43*E43</f>
        <v>0</v>
      </c>
      <c r="I43" s="251"/>
      <c r="J43" s="34">
        <f t="shared" si="35"/>
        <v>0</v>
      </c>
      <c r="K43" s="36" t="str">
        <f t="shared" si="36"/>
        <v/>
      </c>
      <c r="L43" s="252" t="str">
        <f t="shared" si="37"/>
        <v/>
      </c>
      <c r="M43" s="261"/>
      <c r="N43" s="261"/>
      <c r="P43" s="109"/>
      <c r="Q43" s="110"/>
      <c r="R43" s="111"/>
      <c r="S43" s="112"/>
      <c r="T43" s="113"/>
      <c r="U43" s="114"/>
      <c r="V43" s="115">
        <f t="shared" si="38"/>
        <v>0</v>
      </c>
      <c r="W43" s="116">
        <f t="shared" si="39"/>
        <v>0</v>
      </c>
      <c r="X43" s="111"/>
      <c r="Y43" s="107"/>
      <c r="Z43" s="117"/>
    </row>
    <row r="44" spans="1:26" x14ac:dyDescent="0.25">
      <c r="A44" s="21" t="s">
        <v>281</v>
      </c>
      <c r="B44" s="44" t="s">
        <v>282</v>
      </c>
      <c r="C44" s="44"/>
      <c r="D44" s="69"/>
      <c r="E44" s="68"/>
      <c r="F44" s="65"/>
      <c r="G44" s="228">
        <f>SUM(G41:G43)</f>
        <v>0</v>
      </c>
      <c r="I44" s="235"/>
      <c r="J44" s="228">
        <f>SUM(J41:J43)</f>
        <v>0</v>
      </c>
      <c r="K44" s="49" t="str">
        <f t="shared" ref="K44:K63" si="40">IF(J44=0,"",IF(OR(J44-G44&gt;0,J44-G44&lt;0), (J44-G44)/G44, ""))</f>
        <v/>
      </c>
      <c r="L44" s="65" t="str">
        <f>B44</f>
        <v>סה"כ ציוד עזרה ראשונה  כולל מע"מ</v>
      </c>
      <c r="M44" s="65"/>
      <c r="N44" s="21"/>
      <c r="P44" s="228">
        <f>SUM(P41:P43)</f>
        <v>0</v>
      </c>
      <c r="Q44" s="149"/>
      <c r="R44" s="150"/>
      <c r="S44" s="151"/>
      <c r="T44" s="152"/>
      <c r="U44" s="228">
        <f>SUM(U41:U43)</f>
        <v>0</v>
      </c>
      <c r="V44" s="115">
        <f t="shared" si="38"/>
        <v>0</v>
      </c>
      <c r="W44" s="116">
        <f t="shared" si="39"/>
        <v>0</v>
      </c>
      <c r="X44" s="150"/>
      <c r="Y44" s="154"/>
      <c r="Z44" s="155"/>
    </row>
    <row r="45" spans="1:26" x14ac:dyDescent="0.25">
      <c r="A45" s="230">
        <v>3.4</v>
      </c>
      <c r="B45" s="44"/>
      <c r="C45" s="58" t="s">
        <v>283</v>
      </c>
      <c r="D45" s="58"/>
      <c r="E45" s="59"/>
      <c r="F45" s="223"/>
      <c r="G45" s="71"/>
      <c r="I45" s="239"/>
      <c r="J45" s="58" t="str">
        <f>C45</f>
        <v>ציוד כללי</v>
      </c>
      <c r="K45" s="58"/>
      <c r="L45" s="58"/>
      <c r="M45" s="58"/>
      <c r="N45" s="71"/>
      <c r="P45" s="248" t="str">
        <f>C45</f>
        <v>ציוד כללי</v>
      </c>
      <c r="Q45" s="156"/>
      <c r="R45" s="156"/>
      <c r="S45" s="158"/>
      <c r="T45" s="159"/>
      <c r="U45" s="160"/>
      <c r="V45" s="161"/>
      <c r="W45" s="162"/>
      <c r="X45" s="156"/>
      <c r="Y45" s="247"/>
      <c r="Z45" s="164"/>
    </row>
    <row r="46" spans="1:26" x14ac:dyDescent="0.25">
      <c r="A46" s="56" t="s">
        <v>284</v>
      </c>
      <c r="B46" s="72" t="s">
        <v>177</v>
      </c>
      <c r="C46" s="56" t="s">
        <v>285</v>
      </c>
      <c r="D46" s="62"/>
      <c r="E46" s="63">
        <v>5000</v>
      </c>
      <c r="F46" s="227">
        <f>IF($G$2=נוסחאות!$N$2,נוסחאות!P43*$F$1,IF($G$2=נוסחאות!$R$2,נוסחאות!T43*$F$1,0))</f>
        <v>0</v>
      </c>
      <c r="G46" s="63">
        <f t="shared" ref="G46:G57" si="41">F46*E46</f>
        <v>0</v>
      </c>
      <c r="I46" s="251"/>
      <c r="J46" s="34">
        <f t="shared" ref="J46:J57" si="42">IF(G46=0,0,I46*E46)</f>
        <v>0</v>
      </c>
      <c r="K46" s="36" t="str">
        <f t="shared" ref="K46" si="43">IF(J46=0,"",IF(OR(J46-G46&gt;0,J46-G46&lt;0), (J46-G46)/G46, ""))</f>
        <v/>
      </c>
      <c r="L46" s="252" t="str">
        <f t="shared" ref="L46:L57" si="44">IF(I46&gt;F46,"יש להסביר חריגה","")</f>
        <v/>
      </c>
      <c r="M46" s="261"/>
      <c r="N46" s="261"/>
      <c r="P46" s="109"/>
      <c r="Q46" s="110"/>
      <c r="R46" s="111"/>
      <c r="S46" s="112"/>
      <c r="T46" s="113"/>
      <c r="U46" s="114"/>
      <c r="V46" s="115">
        <f t="shared" ref="V46" si="45">IF(U46="",0,U46-J46)</f>
        <v>0</v>
      </c>
      <c r="W46" s="116">
        <f t="shared" ref="W46" si="46">IF(U46=0,0,V46/J46)</f>
        <v>0</v>
      </c>
      <c r="X46" s="111"/>
      <c r="Y46" s="107"/>
      <c r="Z46" s="117"/>
    </row>
    <row r="47" spans="1:26" x14ac:dyDescent="0.25">
      <c r="A47" s="56" t="s">
        <v>286</v>
      </c>
      <c r="B47" s="232"/>
      <c r="C47" s="56" t="s">
        <v>287</v>
      </c>
      <c r="D47" s="62"/>
      <c r="E47" s="63">
        <v>5000</v>
      </c>
      <c r="F47" s="227">
        <f>IF($G$2=נוסחאות!$N$2,נוסחאות!P40*$F$1,IF($G$2=נוסחאות!$R$2,נוסחאות!T40*$F$1,0))</f>
        <v>0</v>
      </c>
      <c r="G47" s="63">
        <f t="shared" si="41"/>
        <v>0</v>
      </c>
      <c r="I47" s="251"/>
      <c r="J47" s="34">
        <f t="shared" si="42"/>
        <v>0</v>
      </c>
      <c r="K47" s="36" t="str">
        <f t="shared" ref="K47:K57" si="47">IF(J47=0,"",IF(OR(J47-G47&gt;0,J47-G47&lt;0), (J47-G47)/G47, ""))</f>
        <v/>
      </c>
      <c r="L47" s="252" t="str">
        <f t="shared" si="44"/>
        <v/>
      </c>
      <c r="M47" s="261"/>
      <c r="N47" s="261"/>
      <c r="P47" s="109"/>
      <c r="Q47" s="110"/>
      <c r="R47" s="111"/>
      <c r="S47" s="112"/>
      <c r="T47" s="113"/>
      <c r="U47" s="114"/>
      <c r="V47" s="115">
        <f t="shared" ref="V47:V58" si="48">IF(U47="",0,U47-J47)</f>
        <v>0</v>
      </c>
      <c r="W47" s="116">
        <f t="shared" ref="W47:W58" si="49">IF(U47=0,0,V47/J47)</f>
        <v>0</v>
      </c>
      <c r="X47" s="111"/>
      <c r="Y47" s="107"/>
      <c r="Z47" s="117"/>
    </row>
    <row r="48" spans="1:26" x14ac:dyDescent="0.25">
      <c r="A48" s="56" t="s">
        <v>288</v>
      </c>
      <c r="B48" s="232"/>
      <c r="C48" s="56" t="s">
        <v>431</v>
      </c>
      <c r="D48" s="62">
        <f>IF($G$2=נוסחאות!$N$2,נוסחאות!N41,IF($G$2=נוסחאות!$R$2,נוסחאות!R41,0))</f>
        <v>0</v>
      </c>
      <c r="E48" s="63">
        <f>IF($G$2=נוסחאות!$N$2,נוסחאות!O41,IF($G$2=נוסחאות!$R$2,נוסחאות!S41,0))</f>
        <v>0</v>
      </c>
      <c r="F48" s="227">
        <f>IF($G$2=נוסחאות!$N$2,נוסחאות!P41*$F$1,IF($G$2=נוסחאות!$R$2,נוסחאות!T41*$F$1,0))</f>
        <v>0</v>
      </c>
      <c r="G48" s="63">
        <f t="shared" ref="G48" si="50">F48*E48</f>
        <v>0</v>
      </c>
      <c r="I48" s="251"/>
      <c r="J48" s="34">
        <f t="shared" si="42"/>
        <v>0</v>
      </c>
      <c r="K48" s="36"/>
      <c r="L48" s="252" t="str">
        <f t="shared" si="44"/>
        <v/>
      </c>
      <c r="M48" s="261"/>
      <c r="N48" s="261"/>
      <c r="P48" s="109"/>
      <c r="Q48" s="110"/>
      <c r="R48" s="111"/>
      <c r="S48" s="112"/>
      <c r="T48" s="113"/>
      <c r="U48" s="114"/>
      <c r="V48" s="115">
        <f t="shared" si="48"/>
        <v>0</v>
      </c>
      <c r="W48" s="116">
        <f t="shared" si="49"/>
        <v>0</v>
      </c>
      <c r="X48" s="111"/>
      <c r="Y48" s="107"/>
      <c r="Z48" s="117"/>
    </row>
    <row r="49" spans="1:26" x14ac:dyDescent="0.25">
      <c r="A49" s="56" t="s">
        <v>289</v>
      </c>
      <c r="B49" s="232"/>
      <c r="C49" s="56" t="s">
        <v>435</v>
      </c>
      <c r="D49" s="62">
        <f>IF($G$2=נוסחאות!$N$2,נוסחאות!N42,IF($G$2=נוסחאות!$R$2,נוסחאות!R42,0))</f>
        <v>0</v>
      </c>
      <c r="E49" s="63">
        <f>IF($G$2=נוסחאות!$N$2,נוסחאות!O42,IF($G$2=נוסחאות!$R$2,נוסחאות!S42,0))</f>
        <v>0</v>
      </c>
      <c r="F49" s="227">
        <f>IF($G$2=נוסחאות!$N$2,נוסחאות!P42*$F$1,IF($G$2=נוסחאות!$R$2,נוסחאות!T42*$F$1,0))</f>
        <v>0</v>
      </c>
      <c r="G49" s="63">
        <f t="shared" si="41"/>
        <v>0</v>
      </c>
      <c r="I49" s="251"/>
      <c r="J49" s="34">
        <f t="shared" si="42"/>
        <v>0</v>
      </c>
      <c r="K49" s="36" t="str">
        <f t="shared" si="47"/>
        <v/>
      </c>
      <c r="L49" s="252" t="str">
        <f t="shared" si="44"/>
        <v/>
      </c>
      <c r="M49" s="261"/>
      <c r="N49" s="261"/>
      <c r="P49" s="109"/>
      <c r="Q49" s="110"/>
      <c r="R49" s="111"/>
      <c r="S49" s="112"/>
      <c r="T49" s="113"/>
      <c r="U49" s="114"/>
      <c r="V49" s="115">
        <f t="shared" si="48"/>
        <v>0</v>
      </c>
      <c r="W49" s="116">
        <f t="shared" si="49"/>
        <v>0</v>
      </c>
      <c r="X49" s="111"/>
      <c r="Y49" s="107"/>
      <c r="Z49" s="117"/>
    </row>
    <row r="50" spans="1:26" x14ac:dyDescent="0.25">
      <c r="A50" s="56" t="s">
        <v>290</v>
      </c>
      <c r="B50" s="232"/>
      <c r="C50" s="56" t="s">
        <v>57</v>
      </c>
      <c r="D50" s="62">
        <f>IF($G$2=נוסחאות!$N$2,נוסחאות!N39,IF($G$2=נוסחאות!$R$2,נוסחאות!R39,0))</f>
        <v>0</v>
      </c>
      <c r="E50" s="63">
        <f>IF($G$2=נוסחאות!$N$2,נוסחאות!O39,IF($G$2=נוסחאות!$R$2,נוסחאות!S39,0))</f>
        <v>0</v>
      </c>
      <c r="F50" s="227">
        <f>IF($G$2=נוסחאות!$N$2,נוסחאות!P39*$F$1,IF($G$2=נוסחאות!$R$2,נוסחאות!T39*$F$1,0))</f>
        <v>0</v>
      </c>
      <c r="G50" s="63">
        <f t="shared" si="41"/>
        <v>0</v>
      </c>
      <c r="I50" s="251"/>
      <c r="J50" s="34">
        <f t="shared" si="42"/>
        <v>0</v>
      </c>
      <c r="K50" s="36"/>
      <c r="L50" s="252" t="str">
        <f t="shared" si="44"/>
        <v/>
      </c>
      <c r="M50" s="261"/>
      <c r="N50" s="261"/>
      <c r="P50" s="109"/>
      <c r="Q50" s="110"/>
      <c r="R50" s="111"/>
      <c r="S50" s="112"/>
      <c r="T50" s="113"/>
      <c r="U50" s="114"/>
      <c r="V50" s="115">
        <f t="shared" si="48"/>
        <v>0</v>
      </c>
      <c r="W50" s="116">
        <f t="shared" si="49"/>
        <v>0</v>
      </c>
      <c r="X50" s="111"/>
      <c r="Y50" s="107"/>
      <c r="Z50" s="117"/>
    </row>
    <row r="51" spans="1:26" x14ac:dyDescent="0.25">
      <c r="A51" s="56" t="s">
        <v>291</v>
      </c>
      <c r="B51" s="233"/>
      <c r="C51" s="56" t="s">
        <v>63</v>
      </c>
      <c r="D51" s="62">
        <f>IF($G$2=נוסחאות!$N$2,נוסחאות!N49,IF($G$2=נוסחאות!$R$2,נוסחאות!R49,0))</f>
        <v>0</v>
      </c>
      <c r="E51" s="63">
        <f>IF($G$2=נוסחאות!$N$2,נוסחאות!O49,IF($G$2=נוסחאות!$R$2,נוסחאות!S49,0))</f>
        <v>0</v>
      </c>
      <c r="F51" s="227">
        <f>IF($G$2=נוסחאות!$N$2,נוסחאות!P49*$F$1,IF($G$2=נוסחאות!$R$2,נוסחאות!T49*$F$1,0))</f>
        <v>0</v>
      </c>
      <c r="G51" s="63">
        <f t="shared" si="41"/>
        <v>0</v>
      </c>
      <c r="I51" s="251"/>
      <c r="J51" s="34">
        <f t="shared" si="42"/>
        <v>0</v>
      </c>
      <c r="K51" s="36" t="str">
        <f t="shared" si="47"/>
        <v/>
      </c>
      <c r="L51" s="252" t="str">
        <f t="shared" si="44"/>
        <v/>
      </c>
      <c r="M51" s="261"/>
      <c r="N51" s="261"/>
      <c r="P51" s="109"/>
      <c r="Q51" s="110"/>
      <c r="R51" s="111"/>
      <c r="S51" s="112"/>
      <c r="T51" s="113"/>
      <c r="U51" s="114"/>
      <c r="V51" s="115">
        <f t="shared" si="48"/>
        <v>0</v>
      </c>
      <c r="W51" s="116">
        <f t="shared" si="49"/>
        <v>0</v>
      </c>
      <c r="X51" s="111"/>
      <c r="Y51" s="107"/>
      <c r="Z51" s="117"/>
    </row>
    <row r="52" spans="1:26" ht="30" x14ac:dyDescent="0.25">
      <c r="A52" s="56" t="s">
        <v>292</v>
      </c>
      <c r="B52" s="72" t="s">
        <v>165</v>
      </c>
      <c r="C52" s="307" t="s">
        <v>469</v>
      </c>
      <c r="D52" s="62">
        <f>IF($G$2=נוסחאות!$N$2,נוסחאות!N44,IF($G$2=נוסחאות!$R$2,נוסחאות!R44,0))</f>
        <v>0</v>
      </c>
      <c r="E52" s="63">
        <f>IF($G$2=נוסחאות!$N$2,נוסחאות!O44,IF($G$2=נוסחאות!$R$2,נוסחאות!S44,0))</f>
        <v>0</v>
      </c>
      <c r="F52" s="227">
        <f>IF($G$2=נוסחאות!$N$2,נוסחאות!P44*$F$1,IF($G$2=נוסחאות!$R$2,נוסחאות!T44*$F$1,0))</f>
        <v>0</v>
      </c>
      <c r="G52" s="63">
        <f t="shared" si="41"/>
        <v>0</v>
      </c>
      <c r="I52" s="251"/>
      <c r="J52" s="34">
        <f t="shared" si="42"/>
        <v>0</v>
      </c>
      <c r="K52" s="36" t="str">
        <f t="shared" si="47"/>
        <v/>
      </c>
      <c r="L52" s="252" t="str">
        <f t="shared" si="44"/>
        <v/>
      </c>
      <c r="M52" s="261"/>
      <c r="N52" s="261"/>
      <c r="P52" s="109"/>
      <c r="Q52" s="110"/>
      <c r="R52" s="111"/>
      <c r="S52" s="112"/>
      <c r="T52" s="113"/>
      <c r="U52" s="114"/>
      <c r="V52" s="115">
        <f t="shared" si="48"/>
        <v>0</v>
      </c>
      <c r="W52" s="116">
        <f t="shared" si="49"/>
        <v>0</v>
      </c>
      <c r="X52" s="111"/>
      <c r="Y52" s="107"/>
      <c r="Z52" s="117"/>
    </row>
    <row r="53" spans="1:26" x14ac:dyDescent="0.25">
      <c r="A53" s="56" t="s">
        <v>293</v>
      </c>
      <c r="B53" s="232"/>
      <c r="C53" s="56" t="s">
        <v>60</v>
      </c>
      <c r="D53" s="62">
        <f>IF($G$2=נוסחאות!$N$2,נוסחאות!N45,IF($G$2=נוסחאות!$R$2,נוסחאות!R45,0))</f>
        <v>0</v>
      </c>
      <c r="E53" s="63">
        <f>IF($G$2=נוסחאות!$N$2,נוסחאות!O45,IF($G$2=נוסחאות!$R$2,נוסחאות!S45,0))</f>
        <v>0</v>
      </c>
      <c r="F53" s="227">
        <f>IF($G$2=נוסחאות!$N$2,נוסחאות!P45*$F$1,IF($G$2=נוסחאות!$R$2,נוסחאות!T45*$F$1,0))</f>
        <v>0</v>
      </c>
      <c r="G53" s="63">
        <f t="shared" si="41"/>
        <v>0</v>
      </c>
      <c r="I53" s="251"/>
      <c r="J53" s="34">
        <f t="shared" si="42"/>
        <v>0</v>
      </c>
      <c r="K53" s="36" t="str">
        <f t="shared" si="47"/>
        <v/>
      </c>
      <c r="L53" s="252" t="str">
        <f t="shared" si="44"/>
        <v/>
      </c>
      <c r="M53" s="261"/>
      <c r="N53" s="261"/>
      <c r="P53" s="109"/>
      <c r="Q53" s="110"/>
      <c r="R53" s="111"/>
      <c r="S53" s="112"/>
      <c r="T53" s="113"/>
      <c r="U53" s="114"/>
      <c r="V53" s="115">
        <f t="shared" si="48"/>
        <v>0</v>
      </c>
      <c r="W53" s="116">
        <f t="shared" si="49"/>
        <v>0</v>
      </c>
      <c r="X53" s="111"/>
      <c r="Y53" s="107"/>
      <c r="Z53" s="117"/>
    </row>
    <row r="54" spans="1:26" x14ac:dyDescent="0.25">
      <c r="A54" s="56" t="s">
        <v>294</v>
      </c>
      <c r="B54" s="232"/>
      <c r="C54" s="56" t="s">
        <v>66</v>
      </c>
      <c r="D54" s="62">
        <f>IF($G$2=נוסחאות!$N$2,נוסחאות!N50,IF($G$2=נוסחאות!$R$2,נוסחאות!R50,0))</f>
        <v>0</v>
      </c>
      <c r="E54" s="63">
        <f>IF($G$2=נוסחאות!$N$2,נוסחאות!O50,IF($G$2=נוסחאות!$R$2,נוסחאות!S50,0))</f>
        <v>0</v>
      </c>
      <c r="F54" s="227">
        <f>IF($G$2=נוסחאות!$N$2,נוסחאות!P50*$F$1,IF($G$2=נוסחאות!$R$2,נוסחאות!T50*$F$1,0))</f>
        <v>0</v>
      </c>
      <c r="G54" s="63">
        <f t="shared" si="41"/>
        <v>0</v>
      </c>
      <c r="I54" s="251"/>
      <c r="J54" s="34">
        <f t="shared" si="42"/>
        <v>0</v>
      </c>
      <c r="K54" s="36"/>
      <c r="L54" s="252" t="str">
        <f t="shared" si="44"/>
        <v/>
      </c>
      <c r="M54" s="261"/>
      <c r="N54" s="261"/>
      <c r="P54" s="109"/>
      <c r="Q54" s="110"/>
      <c r="R54" s="111"/>
      <c r="S54" s="112"/>
      <c r="T54" s="113"/>
      <c r="U54" s="114"/>
      <c r="V54" s="115">
        <f t="shared" si="48"/>
        <v>0</v>
      </c>
      <c r="W54" s="116">
        <f t="shared" si="49"/>
        <v>0</v>
      </c>
      <c r="X54" s="111"/>
      <c r="Y54" s="107"/>
      <c r="Z54" s="117"/>
    </row>
    <row r="55" spans="1:26" x14ac:dyDescent="0.25">
      <c r="A55" s="56" t="s">
        <v>295</v>
      </c>
      <c r="B55" s="232"/>
      <c r="C55" s="56" t="s">
        <v>428</v>
      </c>
      <c r="D55" s="62">
        <f>IF($G$2=נוסחאות!$N$2,נוסחאות!N48,IF($G$2=נוסחאות!$R$2,נוסחאות!R48,0))</f>
        <v>0</v>
      </c>
      <c r="E55" s="63">
        <f>IF($G$2=נוסחאות!$N$2,נוסחאות!O48,IF($G$2=נוסחאות!$R$2,נוסחאות!S48,0))</f>
        <v>0</v>
      </c>
      <c r="F55" s="227">
        <f>IF($G$2=נוסחאות!$N$2,נוסחאות!P48*$F$1,IF($G$2=נוסחאות!$R$2,נוסחאות!T48*$F$1,0))</f>
        <v>0</v>
      </c>
      <c r="G55" s="63">
        <f t="shared" si="41"/>
        <v>0</v>
      </c>
      <c r="I55" s="251"/>
      <c r="J55" s="34">
        <f t="shared" si="42"/>
        <v>0</v>
      </c>
      <c r="K55" s="36" t="str">
        <f t="shared" si="47"/>
        <v/>
      </c>
      <c r="L55" s="252" t="str">
        <f t="shared" si="44"/>
        <v/>
      </c>
      <c r="M55" s="261"/>
      <c r="N55" s="261"/>
      <c r="P55" s="109"/>
      <c r="Q55" s="110"/>
      <c r="R55" s="111"/>
      <c r="S55" s="112"/>
      <c r="T55" s="113"/>
      <c r="U55" s="114"/>
      <c r="V55" s="115">
        <f t="shared" si="48"/>
        <v>0</v>
      </c>
      <c r="W55" s="116">
        <f t="shared" si="49"/>
        <v>0</v>
      </c>
      <c r="X55" s="111"/>
      <c r="Y55" s="107"/>
      <c r="Z55" s="117"/>
    </row>
    <row r="56" spans="1:26" x14ac:dyDescent="0.25">
      <c r="A56" s="56" t="s">
        <v>296</v>
      </c>
      <c r="B56" s="233"/>
      <c r="C56" s="56" t="s">
        <v>438</v>
      </c>
      <c r="D56" s="62">
        <f>IF($G$2=נוסחאות!$N$2,נוסחאות!N51,IF($G$2=נוסחאות!$R$2,נוסחאות!R51,0))</f>
        <v>0</v>
      </c>
      <c r="E56" s="63">
        <f>IF($G$2=נוסחאות!$N$2,נוסחאות!O51,IF($G$2=נוסחאות!$R$2,נוסחאות!S51,0))</f>
        <v>0</v>
      </c>
      <c r="F56" s="227">
        <f>IF($G$2=נוסחאות!$N$2,נוסחאות!P51*$F$1,IF($G$2=נוסחאות!$R$2,נוסחאות!T51*$F$1,0))</f>
        <v>0</v>
      </c>
      <c r="G56" s="63">
        <f t="shared" si="41"/>
        <v>0</v>
      </c>
      <c r="I56" s="251"/>
      <c r="J56" s="34">
        <f t="shared" si="42"/>
        <v>0</v>
      </c>
      <c r="K56" s="36" t="str">
        <f t="shared" si="47"/>
        <v/>
      </c>
      <c r="L56" s="252" t="str">
        <f t="shared" si="44"/>
        <v/>
      </c>
      <c r="M56" s="261"/>
      <c r="N56" s="261"/>
      <c r="P56" s="109"/>
      <c r="Q56" s="110"/>
      <c r="R56" s="111"/>
      <c r="S56" s="112"/>
      <c r="T56" s="113"/>
      <c r="U56" s="114"/>
      <c r="V56" s="115">
        <f t="shared" si="48"/>
        <v>0</v>
      </c>
      <c r="W56" s="116">
        <f t="shared" si="49"/>
        <v>0</v>
      </c>
      <c r="X56" s="111"/>
      <c r="Y56" s="107"/>
      <c r="Z56" s="117"/>
    </row>
    <row r="57" spans="1:26" ht="30" x14ac:dyDescent="0.25">
      <c r="A57" s="56" t="s">
        <v>297</v>
      </c>
      <c r="B57" s="74" t="s">
        <v>230</v>
      </c>
      <c r="C57" s="56" t="s">
        <v>437</v>
      </c>
      <c r="D57" s="62">
        <f>IF($G$2=נוסחאות!$N$2,נוסחאות!N52,IF($G$2=נוסחאות!$R$2,נוסחאות!R52,0))</f>
        <v>0</v>
      </c>
      <c r="E57" s="63">
        <f>IF($G$2=נוסחאות!$N$2,נוסחאות!O52,IF($G$2=נוסחאות!$R$2,נוסחאות!S52,0))</f>
        <v>0</v>
      </c>
      <c r="F57" s="227">
        <f>IF($G$2=נוסחאות!$N$2,נוסחאות!P52*$F$1,IF($G$2=נוסחאות!$R$2,נוסחאות!T52*$F$1,0))</f>
        <v>0</v>
      </c>
      <c r="G57" s="63">
        <f t="shared" si="41"/>
        <v>0</v>
      </c>
      <c r="I57" s="251"/>
      <c r="J57" s="34">
        <f t="shared" si="42"/>
        <v>0</v>
      </c>
      <c r="K57" s="36" t="str">
        <f t="shared" si="47"/>
        <v/>
      </c>
      <c r="L57" s="252" t="str">
        <f t="shared" si="44"/>
        <v/>
      </c>
      <c r="M57" s="261"/>
      <c r="N57" s="261"/>
      <c r="P57" s="109"/>
      <c r="Q57" s="110"/>
      <c r="R57" s="111"/>
      <c r="S57" s="112"/>
      <c r="T57" s="113"/>
      <c r="U57" s="114"/>
      <c r="V57" s="115">
        <f t="shared" si="48"/>
        <v>0</v>
      </c>
      <c r="W57" s="116">
        <f t="shared" si="49"/>
        <v>0</v>
      </c>
      <c r="X57" s="111"/>
      <c r="Y57" s="107"/>
      <c r="Z57" s="117"/>
    </row>
    <row r="58" spans="1:26" s="48" customFormat="1" x14ac:dyDescent="0.25">
      <c r="A58" s="39" t="s">
        <v>298</v>
      </c>
      <c r="B58" s="66" t="s">
        <v>232</v>
      </c>
      <c r="C58" s="44"/>
      <c r="D58" s="44"/>
      <c r="E58" s="67"/>
      <c r="F58" s="69"/>
      <c r="G58" s="228">
        <f>SUM(G46:G57)</f>
        <v>0</v>
      </c>
      <c r="I58" s="235"/>
      <c r="J58" s="228">
        <f>SUM(J46:J57)</f>
        <v>0</v>
      </c>
      <c r="K58" s="36" t="str">
        <f t="shared" ref="K58" si="51">IF(J58=0,"",IF(OR(J58-G58&gt;0,J58-G58&lt;0), (J58-G58)/G58, ""))</f>
        <v/>
      </c>
      <c r="L58" s="65" t="str">
        <f>B58</f>
        <v>סה"כ ציוד כללי כולל מע"מ</v>
      </c>
      <c r="M58" s="65"/>
      <c r="N58" s="21"/>
      <c r="P58" s="228">
        <f>SUM(P46:P57)</f>
        <v>0</v>
      </c>
      <c r="Q58" s="149"/>
      <c r="R58" s="150"/>
      <c r="S58" s="151"/>
      <c r="T58" s="152"/>
      <c r="U58" s="228">
        <f>SUM(U46:U57)</f>
        <v>0</v>
      </c>
      <c r="V58" s="115">
        <f t="shared" si="48"/>
        <v>0</v>
      </c>
      <c r="W58" s="116">
        <f t="shared" si="49"/>
        <v>0</v>
      </c>
      <c r="X58" s="150"/>
      <c r="Y58" s="154"/>
      <c r="Z58" s="155"/>
    </row>
    <row r="59" spans="1:26" s="48" customFormat="1" x14ac:dyDescent="0.25">
      <c r="A59" s="230">
        <v>3.5</v>
      </c>
      <c r="B59" s="44"/>
      <c r="C59" s="58" t="s">
        <v>233</v>
      </c>
      <c r="D59" s="58"/>
      <c r="E59" s="59"/>
      <c r="F59" s="223"/>
      <c r="G59" s="71"/>
      <c r="I59" s="242"/>
      <c r="J59" s="44" t="str">
        <f>C59</f>
        <v>ציוד חצר/ מרפסת</v>
      </c>
      <c r="K59" s="44"/>
      <c r="L59" s="44"/>
      <c r="M59" s="44"/>
      <c r="N59" s="69"/>
      <c r="P59" s="248" t="str">
        <f>C59</f>
        <v>ציוד חצר/ מרפסת</v>
      </c>
      <c r="Q59" s="156"/>
      <c r="R59" s="156"/>
      <c r="S59" s="158"/>
      <c r="T59" s="159"/>
      <c r="U59" s="160"/>
      <c r="V59" s="161"/>
      <c r="W59" s="162"/>
      <c r="X59" s="156"/>
      <c r="Y59" s="247"/>
      <c r="Z59" s="164"/>
    </row>
    <row r="60" spans="1:26" x14ac:dyDescent="0.25">
      <c r="A60" s="56" t="s">
        <v>299</v>
      </c>
      <c r="B60" s="41" t="s">
        <v>159</v>
      </c>
      <c r="C60" s="56" t="s">
        <v>481</v>
      </c>
      <c r="D60" s="62">
        <f>IF($G$2=נוסחאות!$N$2,נוסחאות!N57,IF($G$2=נוסחאות!$R$2,נוסחאות!R57,0))</f>
        <v>0</v>
      </c>
      <c r="E60" s="63">
        <f>IF($G$2=נוסחאות!$N$2,נוסחאות!O57,IF($G$2=נוסחאות!$R$2,נוסחאות!S57,0))</f>
        <v>0</v>
      </c>
      <c r="F60" s="227">
        <f>IF($G$2=נוסחאות!$N$2,נוסחאות!P57,IF($G$2=נוסחאות!$R$2,נוסחאות!T57,0))</f>
        <v>0</v>
      </c>
      <c r="G60" s="63">
        <f>F60*E60</f>
        <v>0</v>
      </c>
      <c r="H60" s="48"/>
      <c r="I60" s="253">
        <f>IF('שאלון למילוי הגוף-חובה'!$D$43="כן",F60,0)</f>
        <v>0</v>
      </c>
      <c r="J60" s="34">
        <f>IF('שאלון למילוי הגוף-חובה'!$D$43="כן",E60*I60,0)</f>
        <v>0</v>
      </c>
      <c r="K60" s="36" t="str">
        <f t="shared" ref="K60:K61" si="52">IF(J60=0,"",IF(OR(J60-G60&gt;0,J60-G60&lt;0), (J60-G60)/G60, ""))</f>
        <v/>
      </c>
      <c r="L60" s="252" t="str">
        <f t="shared" ref="L60:L61" si="53">IF(I60&gt;F60,"יש להסביר חריגה","")</f>
        <v/>
      </c>
      <c r="M60" s="261"/>
      <c r="N60" s="261" t="str">
        <f>IF('שאלון למילוי הגוף-חובה'!$D$43="לא","אין חצר","")</f>
        <v/>
      </c>
      <c r="P60" s="109"/>
      <c r="Q60" s="110"/>
      <c r="R60" s="111"/>
      <c r="S60" s="112"/>
      <c r="T60" s="113"/>
      <c r="U60" s="114"/>
      <c r="V60" s="115">
        <f t="shared" ref="V60" si="54">IF(U60="",0,U60-J60)</f>
        <v>0</v>
      </c>
      <c r="W60" s="116">
        <f t="shared" ref="W60" si="55">IF(U60=0,0,V60/J60)</f>
        <v>0</v>
      </c>
      <c r="X60" s="111"/>
      <c r="Y60" s="107"/>
      <c r="Z60" s="117"/>
    </row>
    <row r="61" spans="1:26" x14ac:dyDescent="0.25">
      <c r="A61" s="56" t="s">
        <v>300</v>
      </c>
      <c r="B61" s="43"/>
      <c r="C61" s="56" t="s">
        <v>425</v>
      </c>
      <c r="D61" s="62">
        <f>IF($G$2=נוסחאות!$N$2,נוסחאות!N58,IF($G$2=נוסחאות!$R$2,נוסחאות!R58,0))</f>
        <v>0</v>
      </c>
      <c r="E61" s="63">
        <f>IF($G$2=נוסחאות!$N$2,נוסחאות!O58,IF($G$2=נוסחאות!$R$2,נוסחאות!S58,0))</f>
        <v>0</v>
      </c>
      <c r="F61" s="227">
        <f>IF($G$2=נוסחאות!$N$2,נוסחאות!P58,IF($G$2=נוסחאות!$R$2,נוסחאות!T58,0))</f>
        <v>0</v>
      </c>
      <c r="G61" s="63">
        <f>F61*E61</f>
        <v>0</v>
      </c>
      <c r="H61" s="48"/>
      <c r="I61" s="253">
        <f>IF('שאלון למילוי הגוף-חובה'!$D$43="כן",F61,0)</f>
        <v>0</v>
      </c>
      <c r="J61" s="34">
        <f>IF('שאלון למילוי הגוף-חובה'!$D$43="כן",E61*I61,0)</f>
        <v>0</v>
      </c>
      <c r="K61" s="36" t="str">
        <f t="shared" si="52"/>
        <v/>
      </c>
      <c r="L61" s="252" t="str">
        <f t="shared" si="53"/>
        <v/>
      </c>
      <c r="M61" s="261"/>
      <c r="N61" s="261" t="str">
        <f>IF('שאלון למילוי הגוף-חובה'!$D$43="לא","אין חצר","")</f>
        <v/>
      </c>
      <c r="P61" s="109"/>
      <c r="Q61" s="110"/>
      <c r="R61" s="111"/>
      <c r="S61" s="112"/>
      <c r="T61" s="113"/>
      <c r="U61" s="114"/>
      <c r="V61" s="115">
        <f t="shared" ref="V61" si="56">IF(U61="",0,U61-J61)</f>
        <v>0</v>
      </c>
      <c r="W61" s="116">
        <f t="shared" ref="W61" si="57">IF(U61=0,0,V61/J61)</f>
        <v>0</v>
      </c>
      <c r="X61" s="111"/>
      <c r="Y61" s="107"/>
      <c r="Z61" s="117"/>
    </row>
    <row r="62" spans="1:26" x14ac:dyDescent="0.25">
      <c r="A62" s="39" t="s">
        <v>301</v>
      </c>
      <c r="B62" s="66" t="s">
        <v>302</v>
      </c>
      <c r="C62" s="44"/>
      <c r="D62" s="44"/>
      <c r="E62" s="67"/>
      <c r="F62" s="69"/>
      <c r="G62" s="228">
        <f>SUM(G60:G61)</f>
        <v>0</v>
      </c>
      <c r="I62" s="235"/>
      <c r="J62" s="228">
        <f>SUM(J60:J61)</f>
        <v>0</v>
      </c>
      <c r="K62" s="36" t="str">
        <f t="shared" si="40"/>
        <v/>
      </c>
      <c r="L62" s="65" t="str">
        <f>B62</f>
        <v>סה"כ ציוד חצר כולל מע"מ</v>
      </c>
      <c r="M62" s="65"/>
      <c r="N62" s="21"/>
      <c r="P62" s="228">
        <f>SUM(P60:P61)</f>
        <v>0</v>
      </c>
      <c r="Q62" s="149"/>
      <c r="R62" s="150"/>
      <c r="S62" s="151"/>
      <c r="T62" s="152"/>
      <c r="U62" s="228">
        <f>SUM(U60:U61)</f>
        <v>0</v>
      </c>
      <c r="V62" s="115">
        <f t="shared" ref="V62" si="58">IF(U62="",0,U62-J62)</f>
        <v>0</v>
      </c>
      <c r="W62" s="116">
        <f t="shared" ref="W62" si="59">IF(U62=0,0,V62/J62)</f>
        <v>0</v>
      </c>
      <c r="X62" s="150"/>
      <c r="Y62" s="154"/>
      <c r="Z62" s="155"/>
    </row>
    <row r="63" spans="1:26" x14ac:dyDescent="0.25">
      <c r="A63" s="66" t="s">
        <v>303</v>
      </c>
      <c r="B63" s="27"/>
      <c r="C63" s="27"/>
      <c r="D63" s="27"/>
      <c r="E63" s="243"/>
      <c r="F63" s="28"/>
      <c r="G63" s="228">
        <f>G21+G39+G44+G58+G62</f>
        <v>0</v>
      </c>
      <c r="I63" s="242"/>
      <c r="J63" s="228">
        <f>J21+J39+J44+J58+J62</f>
        <v>0</v>
      </c>
      <c r="K63" s="49" t="str">
        <f t="shared" si="40"/>
        <v/>
      </c>
      <c r="L63" s="44" t="str">
        <f>A63</f>
        <v>סה"כ חללים משותפים בבתים שיתופיים/הוסטלים</v>
      </c>
      <c r="M63" s="44"/>
      <c r="N63" s="69"/>
      <c r="P63" s="228">
        <f>P21+P39+P44+P58+P62</f>
        <v>0</v>
      </c>
      <c r="Q63" s="149"/>
      <c r="R63" s="150"/>
      <c r="S63" s="151"/>
      <c r="T63" s="152"/>
      <c r="U63" s="228">
        <f>U21+U39+U44+U58+U62</f>
        <v>0</v>
      </c>
      <c r="V63" s="115">
        <f t="shared" ref="V63" si="60">IF(U63="",0,U63-J63)</f>
        <v>0</v>
      </c>
      <c r="W63" s="116">
        <f t="shared" ref="W63" si="61">IF(U63=0,0,V63/J63)</f>
        <v>0</v>
      </c>
      <c r="X63" s="150"/>
      <c r="Y63" s="154"/>
      <c r="Z63" s="155"/>
    </row>
  </sheetData>
  <sheetProtection algorithmName="SHA-512" hashValue="RdDnfiwSOoJ1CViJyoUB+naJn3198ZiR1vd3RFspqpkcD6+S1B4lOVeG8XVncI3MaLnC+/o9W2xyP8RSjkkcWw==" saltValue="haEE4cDJORTCCkgCcsk/+Q==" spinCount="100000" sheet="1" formatCells="0" formatColumns="0" formatRows="0"/>
  <conditionalFormatting sqref="K6:K21">
    <cfRule type="cellIs" dxfId="48" priority="21" operator="greaterThan">
      <formula>0</formula>
    </cfRule>
  </conditionalFormatting>
  <conditionalFormatting sqref="K23:K39">
    <cfRule type="cellIs" dxfId="47" priority="17" operator="greaterThan">
      <formula>0</formula>
    </cfRule>
  </conditionalFormatting>
  <conditionalFormatting sqref="K41:K44">
    <cfRule type="cellIs" dxfId="46" priority="13" operator="greaterThan">
      <formula>0</formula>
    </cfRule>
  </conditionalFormatting>
  <conditionalFormatting sqref="K46:K58">
    <cfRule type="cellIs" dxfId="45" priority="9" operator="greaterThan">
      <formula>0</formula>
    </cfRule>
  </conditionalFormatting>
  <conditionalFormatting sqref="K60:K63">
    <cfRule type="cellIs" dxfId="44" priority="1" operator="greaterThan">
      <formula>0</formula>
    </cfRule>
  </conditionalFormatting>
  <conditionalFormatting sqref="L6:L20">
    <cfRule type="cellIs" dxfId="43" priority="18" operator="equal">
      <formula>"יש להסביר חריגה"</formula>
    </cfRule>
    <cfRule type="cellIs" dxfId="42" priority="19" operator="equal">
      <formula>"נא להסביר חריגה"</formula>
    </cfRule>
    <cfRule type="containsText" dxfId="41" priority="20" operator="containsText" text="נא להסביר חריגה כאן">
      <formula>NOT(ISERROR(SEARCH("נא להסביר חריגה כאן",L6)))</formula>
    </cfRule>
  </conditionalFormatting>
  <conditionalFormatting sqref="L23:L38">
    <cfRule type="cellIs" dxfId="40" priority="14" operator="equal">
      <formula>"יש להסביר חריגה"</formula>
    </cfRule>
    <cfRule type="cellIs" dxfId="39" priority="15" operator="equal">
      <formula>"נא להסביר חריגה"</formula>
    </cfRule>
    <cfRule type="containsText" dxfId="38" priority="16" operator="containsText" text="נא להסביר חריגה כאן">
      <formula>NOT(ISERROR(SEARCH("נא להסביר חריגה כאן",L23)))</formula>
    </cfRule>
  </conditionalFormatting>
  <conditionalFormatting sqref="L41:L43">
    <cfRule type="cellIs" dxfId="37" priority="10" operator="equal">
      <formula>"יש להסביר חריגה"</formula>
    </cfRule>
    <cfRule type="cellIs" dxfId="36" priority="11" operator="equal">
      <formula>"נא להסביר חריגה"</formula>
    </cfRule>
    <cfRule type="containsText" dxfId="35" priority="12" operator="containsText" text="נא להסביר חריגה כאן">
      <formula>NOT(ISERROR(SEARCH("נא להסביר חריגה כאן",L41)))</formula>
    </cfRule>
  </conditionalFormatting>
  <conditionalFormatting sqref="L46:L57">
    <cfRule type="cellIs" dxfId="34" priority="6" operator="equal">
      <formula>"יש להסביר חריגה"</formula>
    </cfRule>
    <cfRule type="cellIs" dxfId="33" priority="7" operator="equal">
      <formula>"נא להסביר חריגה"</formula>
    </cfRule>
    <cfRule type="containsText" dxfId="32" priority="8" operator="containsText" text="נא להסביר חריגה כאן">
      <formula>NOT(ISERROR(SEARCH("נא להסביר חריגה כאן",L46)))</formula>
    </cfRule>
  </conditionalFormatting>
  <conditionalFormatting sqref="L60:L61">
    <cfRule type="cellIs" dxfId="31" priority="2" operator="equal">
      <formula>"יש להסביר חריגה"</formula>
    </cfRule>
    <cfRule type="cellIs" dxfId="30" priority="3" operator="equal">
      <formula>"נא להסביר חריגה"</formula>
    </cfRule>
    <cfRule type="containsText" dxfId="29" priority="4" operator="containsText" text="נא להסביר חריגה כאן">
      <formula>NOT(ISERROR(SEARCH("נא להסביר חריגה כאן",L60)))</formula>
    </cfRule>
  </conditionalFormatting>
  <conditionalFormatting sqref="P5:P20">
    <cfRule type="containsText" dxfId="28" priority="35" operator="containsText" text="נא להסביר חריגה כאן">
      <formula>NOT(ISERROR(SEARCH("נא להסביר חריגה כאן",P5)))</formula>
    </cfRule>
  </conditionalFormatting>
  <conditionalFormatting sqref="P22:P38">
    <cfRule type="containsText" dxfId="27" priority="33" operator="containsText" text="נא להסביר חריגה כאן">
      <formula>NOT(ISERROR(SEARCH("נא להסביר חריגה כאן",P22)))</formula>
    </cfRule>
  </conditionalFormatting>
  <conditionalFormatting sqref="P40:P43">
    <cfRule type="containsText" dxfId="26" priority="31" operator="containsText" text="נא להסביר חריגה כאן">
      <formula>NOT(ISERROR(SEARCH("נא להסביר חריגה כאן",P40)))</formula>
    </cfRule>
  </conditionalFormatting>
  <conditionalFormatting sqref="P45:P57">
    <cfRule type="containsText" dxfId="25" priority="29" operator="containsText" text="נא להסביר חריגה כאן">
      <formula>NOT(ISERROR(SEARCH("נא להסביר חריגה כאן",P45)))</formula>
    </cfRule>
  </conditionalFormatting>
  <conditionalFormatting sqref="P59:P61">
    <cfRule type="containsText" dxfId="24" priority="27" operator="containsText" text="נא להסביר חריגה כאן">
      <formula>NOT(ISERROR(SEARCH("נא להסביר חריגה כאן",P59)))</formula>
    </cfRule>
  </conditionalFormatting>
  <conditionalFormatting sqref="V5:W63">
    <cfRule type="cellIs" dxfId="23" priority="22" operator="greaterThan">
      <formula>0</formula>
    </cfRule>
  </conditionalFormatting>
  <dataValidations count="1">
    <dataValidation type="list" allowBlank="1" showInputMessage="1" showErrorMessage="1" sqref="M60:M61 M23:M38 M41:M43 M46:M57 M6:M20">
      <formula1>"מאושר, לא מאושר"</formula1>
    </dataValidation>
  </dataValidation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4"/>
  <sheetViews>
    <sheetView rightToLeft="1" zoomScale="80" zoomScaleNormal="80" workbookViewId="0">
      <pane xSplit="3" ySplit="4" topLeftCell="D5" activePane="bottomRight" state="frozen"/>
      <selection activeCell="C7" sqref="C7"/>
      <selection pane="topRight" activeCell="C7" sqref="C7"/>
      <selection pane="bottomLeft" activeCell="C7" sqref="C7"/>
      <selection pane="bottomRight" activeCell="D21" sqref="D21"/>
    </sheetView>
  </sheetViews>
  <sheetFormatPr defaultColWidth="9" defaultRowHeight="15" outlineLevelCol="1" x14ac:dyDescent="0.25"/>
  <cols>
    <col min="1" max="1" width="7.625" style="23" customWidth="1"/>
    <col min="2" max="2" width="11.375" style="23" customWidth="1"/>
    <col min="3" max="3" width="24.625" style="23" customWidth="1"/>
    <col min="4" max="4" width="24.75" style="23" customWidth="1"/>
    <col min="5" max="5" width="15.25" style="210" customWidth="1"/>
    <col min="6" max="6" width="7.25" style="23" customWidth="1"/>
    <col min="7" max="7" width="11.625" style="23" customWidth="1"/>
    <col min="8" max="8" width="1.375" style="23" customWidth="1"/>
    <col min="9" max="9" width="7.625" style="23" customWidth="1"/>
    <col min="10" max="10" width="9.375" style="23" customWidth="1"/>
    <col min="11" max="11" width="8.875" style="23" bestFit="1" customWidth="1"/>
    <col min="12" max="12" width="15" style="23" customWidth="1"/>
    <col min="13" max="13" width="16.75" style="23" customWidth="1"/>
    <col min="14" max="14" width="13.375" style="23" customWidth="1"/>
    <col min="15" max="15" width="2.25" style="23" customWidth="1"/>
    <col min="16" max="20" width="0" style="23" hidden="1" customWidth="1" outlineLevel="1"/>
    <col min="21" max="21" width="12.125" style="23" hidden="1" customWidth="1" outlineLevel="1"/>
    <col min="22" max="22" width="13.75" style="23" hidden="1" customWidth="1" outlineLevel="1"/>
    <col min="23" max="26" width="0" style="23" hidden="1" customWidth="1" outlineLevel="1"/>
    <col min="27" max="27" width="9" style="23" collapsed="1"/>
    <col min="28" max="16384" width="9" style="23"/>
  </cols>
  <sheetData>
    <row r="1" spans="1:26" ht="18.75" x14ac:dyDescent="0.3">
      <c r="A1" s="9" t="str">
        <f>'תוכן עניינים'!$B$7</f>
        <v>תקן ריהוט וציוד לדיור  קהילתי - גירסה: 07/09/26</v>
      </c>
      <c r="E1" s="220" t="str">
        <f>'שאלון למילוי הגוף-חובה'!$C$33</f>
        <v>מס' דירות מעל 8 דיירים</v>
      </c>
      <c r="F1" s="80">
        <f>'שאלון למילוי הגוף-חובה'!$D$33</f>
        <v>0</v>
      </c>
      <c r="G1" s="265" t="s">
        <v>170</v>
      </c>
      <c r="I1" s="19" t="s">
        <v>304</v>
      </c>
      <c r="L1" s="299" t="str">
        <f>'שאלון למילוי הגוף-חובה'!$C$10&amp;" : "&amp;'שאלון למילוי הגוף-חובה'!$D$10</f>
        <v xml:space="preserve">שם הגוף המבקש : </v>
      </c>
    </row>
    <row r="2" spans="1:26" ht="18.75" x14ac:dyDescent="0.3">
      <c r="A2" s="92">
        <f>'תוכן עניינים'!B17</f>
        <v>4</v>
      </c>
      <c r="B2" s="92" t="str">
        <f>'תוכן עניינים'!C17</f>
        <v>בית שיתופי: אופציה למטבחון וסלון קטן (מעל 8 דיירים)</v>
      </c>
      <c r="E2" s="220" t="str">
        <f>'שאלון למילוי הגוף-חובה'!C34</f>
        <v>מס' דיירים בדירות מעל 8 דיירים</v>
      </c>
      <c r="F2" s="80">
        <f>'שאלון למילוי הגוף-חובה'!D34</f>
        <v>0</v>
      </c>
      <c r="G2" s="221"/>
      <c r="H2" s="48"/>
      <c r="L2" s="299" t="str">
        <f>'שאלון למילוי הגוף-חובה'!$C$18&amp;" : "&amp;'שאלון למילוי הגוף-חובה'!$D$18</f>
        <v xml:space="preserve">שם המסגרת : </v>
      </c>
    </row>
    <row r="3" spans="1:26" x14ac:dyDescent="0.25">
      <c r="A3" s="95"/>
      <c r="B3" s="27"/>
      <c r="C3" s="27" t="s">
        <v>146</v>
      </c>
      <c r="D3" s="27"/>
      <c r="E3" s="218"/>
      <c r="F3" s="27"/>
      <c r="G3" s="28"/>
      <c r="I3" s="26" t="s">
        <v>391</v>
      </c>
      <c r="J3" s="27"/>
      <c r="K3" s="27"/>
      <c r="L3" s="28"/>
      <c r="M3" s="27" t="s">
        <v>392</v>
      </c>
      <c r="N3" s="28"/>
      <c r="P3" s="57" t="s">
        <v>393</v>
      </c>
      <c r="Q3" s="27"/>
      <c r="R3" s="27" t="s">
        <v>394</v>
      </c>
      <c r="S3" s="27"/>
      <c r="T3" s="27"/>
      <c r="U3" s="27"/>
      <c r="V3" s="27"/>
      <c r="W3" s="27"/>
      <c r="X3" s="27"/>
      <c r="Y3" s="27"/>
      <c r="Z3" s="28"/>
    </row>
    <row r="4" spans="1:26" ht="90" x14ac:dyDescent="0.25">
      <c r="A4" s="57" t="s">
        <v>147</v>
      </c>
      <c r="B4" s="29" t="s">
        <v>148</v>
      </c>
      <c r="C4" s="21" t="s">
        <v>149</v>
      </c>
      <c r="D4" s="21" t="s">
        <v>410</v>
      </c>
      <c r="E4" s="21" t="s">
        <v>171</v>
      </c>
      <c r="F4" s="56" t="s">
        <v>172</v>
      </c>
      <c r="G4" s="21" t="s">
        <v>173</v>
      </c>
      <c r="I4" s="30" t="s">
        <v>153</v>
      </c>
      <c r="J4" s="30" t="s">
        <v>154</v>
      </c>
      <c r="K4" s="31" t="s">
        <v>155</v>
      </c>
      <c r="L4" s="21" t="s">
        <v>156</v>
      </c>
      <c r="M4" s="21" t="s">
        <v>157</v>
      </c>
      <c r="N4" s="21" t="s">
        <v>158</v>
      </c>
      <c r="P4" s="103" t="s">
        <v>395</v>
      </c>
      <c r="Q4" s="104" t="s">
        <v>396</v>
      </c>
      <c r="R4" s="105" t="s">
        <v>397</v>
      </c>
      <c r="S4" s="105" t="s">
        <v>398</v>
      </c>
      <c r="T4" s="105" t="s">
        <v>399</v>
      </c>
      <c r="U4" s="106" t="s">
        <v>400</v>
      </c>
      <c r="V4" s="106" t="s">
        <v>401</v>
      </c>
      <c r="W4" s="105" t="s">
        <v>402</v>
      </c>
      <c r="X4" s="105" t="s">
        <v>403</v>
      </c>
      <c r="Y4" s="107" t="s">
        <v>404</v>
      </c>
      <c r="Z4" s="108" t="s">
        <v>405</v>
      </c>
    </row>
    <row r="5" spans="1:26" x14ac:dyDescent="0.25">
      <c r="A5" s="222">
        <v>4.0999999999999996</v>
      </c>
      <c r="B5" s="44"/>
      <c r="C5" s="58" t="s">
        <v>305</v>
      </c>
      <c r="D5" s="58"/>
      <c r="E5" s="59"/>
      <c r="F5" s="223"/>
      <c r="G5" s="71"/>
      <c r="H5" s="48"/>
      <c r="I5" s="66"/>
      <c r="J5" s="58" t="str">
        <f>C5</f>
        <v>מטבחון</v>
      </c>
      <c r="K5" s="58"/>
      <c r="L5" s="59"/>
      <c r="M5" s="59"/>
      <c r="N5" s="28"/>
      <c r="P5" s="248" t="str">
        <f>C5</f>
        <v>מטבחון</v>
      </c>
      <c r="Q5" s="156"/>
      <c r="R5" s="156"/>
      <c r="S5" s="158"/>
      <c r="T5" s="159"/>
      <c r="U5" s="160"/>
      <c r="V5" s="161"/>
      <c r="W5" s="162"/>
      <c r="X5" s="156"/>
      <c r="Y5" s="247"/>
      <c r="Z5" s="164"/>
    </row>
    <row r="6" spans="1:26" ht="16.5" customHeight="1" x14ac:dyDescent="0.25">
      <c r="A6" s="56" t="s">
        <v>306</v>
      </c>
      <c r="B6" s="224" t="s">
        <v>177</v>
      </c>
      <c r="C6" s="56" t="s">
        <v>415</v>
      </c>
      <c r="D6" s="225"/>
      <c r="E6" s="226">
        <v>2000</v>
      </c>
      <c r="F6" s="227">
        <v>1</v>
      </c>
      <c r="G6" s="34">
        <f>E6*F6</f>
        <v>2000</v>
      </c>
      <c r="I6" s="251"/>
      <c r="J6" s="34">
        <f t="shared" ref="J6:J10" si="0">IF(G6=0,0,I6*E6)</f>
        <v>0</v>
      </c>
      <c r="K6" s="36" t="str">
        <f t="shared" ref="K6:K10" si="1">IF(J6=0,"",IF(OR(J6-G6&gt;0,J6-G6&lt;0), (J6-G6)/G6, ""))</f>
        <v/>
      </c>
      <c r="L6" s="252" t="str">
        <f>IF(I6&gt;F6,"יש להסביר חריגה","")</f>
        <v/>
      </c>
      <c r="M6" s="261"/>
      <c r="N6" s="261"/>
      <c r="P6" s="109"/>
      <c r="Q6" s="110"/>
      <c r="R6" s="111"/>
      <c r="S6" s="112"/>
      <c r="T6" s="113"/>
      <c r="U6" s="114"/>
      <c r="V6" s="115">
        <f t="shared" ref="V6:V8" si="2">IF(U6="",0,U6-J6)</f>
        <v>0</v>
      </c>
      <c r="W6" s="116">
        <f t="shared" ref="W6:W8" si="3">IF(U6=0,0,V6/J6)</f>
        <v>0</v>
      </c>
      <c r="X6" s="111"/>
      <c r="Y6" s="107"/>
      <c r="Z6" s="117"/>
    </row>
    <row r="7" spans="1:26" x14ac:dyDescent="0.25">
      <c r="A7" s="56" t="s">
        <v>307</v>
      </c>
      <c r="B7" s="37"/>
      <c r="C7" s="56" t="s">
        <v>416</v>
      </c>
      <c r="D7" s="225"/>
      <c r="E7" s="226">
        <v>4000</v>
      </c>
      <c r="F7" s="227">
        <v>1</v>
      </c>
      <c r="G7" s="34">
        <f t="shared" ref="G7:G10" si="4">E7*F7</f>
        <v>4000</v>
      </c>
      <c r="I7" s="251"/>
      <c r="J7" s="34">
        <f t="shared" si="0"/>
        <v>0</v>
      </c>
      <c r="K7" s="36" t="str">
        <f t="shared" si="1"/>
        <v/>
      </c>
      <c r="L7" s="252" t="str">
        <f t="shared" ref="L7:L10" si="5">IF(I7&gt;F7,"יש להסביר חריגה","")</f>
        <v/>
      </c>
      <c r="M7" s="261"/>
      <c r="N7" s="261"/>
      <c r="P7" s="109"/>
      <c r="Q7" s="110"/>
      <c r="R7" s="111"/>
      <c r="S7" s="112"/>
      <c r="T7" s="113"/>
      <c r="U7" s="114"/>
      <c r="V7" s="115">
        <f t="shared" si="2"/>
        <v>0</v>
      </c>
      <c r="W7" s="116">
        <f t="shared" si="3"/>
        <v>0</v>
      </c>
      <c r="X7" s="111"/>
      <c r="Y7" s="107"/>
      <c r="Z7" s="117"/>
    </row>
    <row r="8" spans="1:26" s="48" customFormat="1" x14ac:dyDescent="0.25">
      <c r="A8" s="56" t="s">
        <v>308</v>
      </c>
      <c r="B8" s="37"/>
      <c r="C8" s="56" t="s">
        <v>24</v>
      </c>
      <c r="D8" s="56" t="s">
        <v>33</v>
      </c>
      <c r="E8" s="226">
        <v>2000</v>
      </c>
      <c r="F8" s="227">
        <v>1</v>
      </c>
      <c r="G8" s="34">
        <f t="shared" si="4"/>
        <v>2000</v>
      </c>
      <c r="H8" s="23"/>
      <c r="I8" s="251"/>
      <c r="J8" s="34">
        <f t="shared" si="0"/>
        <v>0</v>
      </c>
      <c r="K8" s="36" t="str">
        <f t="shared" si="1"/>
        <v/>
      </c>
      <c r="L8" s="252" t="str">
        <f t="shared" si="5"/>
        <v/>
      </c>
      <c r="M8" s="261"/>
      <c r="N8" s="261"/>
      <c r="P8" s="109"/>
      <c r="Q8" s="110"/>
      <c r="R8" s="111"/>
      <c r="S8" s="112"/>
      <c r="T8" s="113"/>
      <c r="U8" s="114"/>
      <c r="V8" s="115">
        <f t="shared" si="2"/>
        <v>0</v>
      </c>
      <c r="W8" s="116">
        <f t="shared" si="3"/>
        <v>0</v>
      </c>
      <c r="X8" s="111"/>
      <c r="Y8" s="107"/>
      <c r="Z8" s="117"/>
    </row>
    <row r="9" spans="1:26" x14ac:dyDescent="0.25">
      <c r="A9" s="56" t="s">
        <v>309</v>
      </c>
      <c r="B9" s="38"/>
      <c r="C9" s="56" t="s">
        <v>28</v>
      </c>
      <c r="D9" s="225"/>
      <c r="E9" s="226">
        <v>300</v>
      </c>
      <c r="F9" s="227">
        <v>1</v>
      </c>
      <c r="G9" s="34">
        <f t="shared" si="4"/>
        <v>300</v>
      </c>
      <c r="I9" s="251"/>
      <c r="J9" s="34">
        <f t="shared" si="0"/>
        <v>0</v>
      </c>
      <c r="K9" s="36" t="str">
        <f t="shared" si="1"/>
        <v/>
      </c>
      <c r="L9" s="252" t="str">
        <f t="shared" si="5"/>
        <v/>
      </c>
      <c r="M9" s="261"/>
      <c r="N9" s="261"/>
      <c r="P9" s="109"/>
      <c r="Q9" s="110"/>
      <c r="R9" s="111"/>
      <c r="S9" s="112"/>
      <c r="T9" s="113"/>
      <c r="U9" s="114"/>
      <c r="V9" s="115">
        <f t="shared" ref="V9:V10" si="6">IF(U9="",0,U9-J9)</f>
        <v>0</v>
      </c>
      <c r="W9" s="116">
        <f t="shared" ref="W9:W10" si="7">IF(U9=0,0,V9/J9)</f>
        <v>0</v>
      </c>
      <c r="X9" s="111"/>
      <c r="Y9" s="107"/>
      <c r="Z9" s="117"/>
    </row>
    <row r="10" spans="1:26" ht="30" x14ac:dyDescent="0.25">
      <c r="A10" s="56" t="s">
        <v>310</v>
      </c>
      <c r="B10" s="56" t="s">
        <v>165</v>
      </c>
      <c r="C10" s="56" t="s">
        <v>192</v>
      </c>
      <c r="D10" s="225" t="s">
        <v>483</v>
      </c>
      <c r="E10" s="226">
        <v>4000</v>
      </c>
      <c r="F10" s="227">
        <v>1</v>
      </c>
      <c r="G10" s="34">
        <f t="shared" si="4"/>
        <v>4000</v>
      </c>
      <c r="I10" s="251"/>
      <c r="J10" s="34">
        <f t="shared" si="0"/>
        <v>0</v>
      </c>
      <c r="K10" s="36" t="str">
        <f t="shared" si="1"/>
        <v/>
      </c>
      <c r="L10" s="252" t="str">
        <f t="shared" si="5"/>
        <v/>
      </c>
      <c r="M10" s="261"/>
      <c r="N10" s="261"/>
      <c r="P10" s="109"/>
      <c r="Q10" s="110"/>
      <c r="R10" s="111"/>
      <c r="S10" s="112"/>
      <c r="T10" s="113"/>
      <c r="U10" s="114"/>
      <c r="V10" s="115">
        <f t="shared" si="6"/>
        <v>0</v>
      </c>
      <c r="W10" s="116">
        <f t="shared" si="7"/>
        <v>0</v>
      </c>
      <c r="X10" s="111"/>
      <c r="Y10" s="107"/>
      <c r="Z10" s="117"/>
    </row>
    <row r="11" spans="1:26" x14ac:dyDescent="0.25">
      <c r="A11" s="56" t="s">
        <v>311</v>
      </c>
      <c r="B11" s="66" t="s">
        <v>312</v>
      </c>
      <c r="C11" s="44"/>
      <c r="D11" s="44"/>
      <c r="E11" s="67"/>
      <c r="F11" s="69"/>
      <c r="G11" s="228">
        <f>SUM(G6:G10)</f>
        <v>12300</v>
      </c>
      <c r="I11" s="229"/>
      <c r="J11" s="228">
        <f>SUM(J6:J10)</f>
        <v>0</v>
      </c>
      <c r="K11" s="36" t="str">
        <f>IF(J11=0,"",IF(OR(J11-G11&gt;0,J11-G11&lt;0), (J11-G11)/G11, ""))</f>
        <v/>
      </c>
      <c r="L11" s="66" t="str">
        <f>B11</f>
        <v>סה"כ ציוד מטבחון כולל מע"מ</v>
      </c>
      <c r="M11" s="27"/>
      <c r="N11" s="28"/>
      <c r="P11" s="228">
        <f>SUM(P6:P10)</f>
        <v>0</v>
      </c>
      <c r="Q11" s="149"/>
      <c r="R11" s="150"/>
      <c r="S11" s="151"/>
      <c r="T11" s="152"/>
      <c r="U11" s="228">
        <f>SUM(U6:U10)</f>
        <v>0</v>
      </c>
      <c r="V11" s="115">
        <f t="shared" ref="V11" si="8">IF(U11="",0,U11-J11)</f>
        <v>0</v>
      </c>
      <c r="W11" s="116">
        <f t="shared" ref="W11" si="9">IF(U11=0,0,V11/J11)</f>
        <v>0</v>
      </c>
      <c r="X11" s="150"/>
      <c r="Y11" s="154"/>
      <c r="Z11" s="155"/>
    </row>
    <row r="12" spans="1:26" x14ac:dyDescent="0.25">
      <c r="A12" s="230">
        <v>4.2</v>
      </c>
      <c r="B12" s="44"/>
      <c r="C12" s="58" t="s">
        <v>313</v>
      </c>
      <c r="D12" s="58"/>
      <c r="E12" s="59"/>
      <c r="F12" s="223"/>
      <c r="G12" s="71"/>
      <c r="I12" s="95"/>
      <c r="J12" s="58" t="str">
        <f>C12</f>
        <v xml:space="preserve">סלון קטן </v>
      </c>
      <c r="K12" s="58"/>
      <c r="L12" s="59"/>
      <c r="M12" s="59"/>
      <c r="N12" s="28"/>
      <c r="P12" s="248" t="str">
        <f>C12</f>
        <v xml:space="preserve">סלון קטן </v>
      </c>
      <c r="Q12" s="156"/>
      <c r="R12" s="156"/>
      <c r="S12" s="158"/>
      <c r="T12" s="159"/>
      <c r="U12" s="160"/>
      <c r="V12" s="161"/>
      <c r="W12" s="162"/>
      <c r="X12" s="156"/>
      <c r="Y12" s="247"/>
      <c r="Z12" s="164"/>
    </row>
    <row r="13" spans="1:26" x14ac:dyDescent="0.25">
      <c r="A13" s="56" t="s">
        <v>314</v>
      </c>
      <c r="B13" s="168" t="s">
        <v>159</v>
      </c>
      <c r="C13" s="56" t="s">
        <v>52</v>
      </c>
      <c r="D13" s="225" t="s">
        <v>53</v>
      </c>
      <c r="E13" s="226">
        <v>10000</v>
      </c>
      <c r="F13" s="227">
        <v>1</v>
      </c>
      <c r="G13" s="34">
        <f t="shared" ref="G13:G22" si="10">E13*F13</f>
        <v>10000</v>
      </c>
      <c r="I13" s="251"/>
      <c r="J13" s="34">
        <f t="shared" ref="J13:J22" si="11">IF(G13=0,0,I13*E13)</f>
        <v>0</v>
      </c>
      <c r="K13" s="36" t="str">
        <f t="shared" ref="K13:K22" si="12">IF(J13=0,"",IF(OR(J13-G13&gt;0,J13-G13&lt;0), (J13-G13)/G13, ""))</f>
        <v/>
      </c>
      <c r="L13" s="252" t="str">
        <f t="shared" ref="L13:L22" si="13">IF(I13&gt;F13,"יש להסביר חריגה","")</f>
        <v/>
      </c>
      <c r="M13" s="261"/>
      <c r="N13" s="261"/>
      <c r="P13" s="109"/>
      <c r="Q13" s="110"/>
      <c r="R13" s="111"/>
      <c r="S13" s="112"/>
      <c r="T13" s="113"/>
      <c r="U13" s="114"/>
      <c r="V13" s="115">
        <f t="shared" ref="V13" si="14">IF(U13="",0,U13-J13)</f>
        <v>0</v>
      </c>
      <c r="W13" s="116">
        <f t="shared" ref="W13" si="15">IF(U13=0,0,V13/J13)</f>
        <v>0</v>
      </c>
      <c r="X13" s="111"/>
      <c r="Y13" s="107"/>
      <c r="Z13" s="117"/>
    </row>
    <row r="14" spans="1:26" x14ac:dyDescent="0.25">
      <c r="A14" s="56" t="s">
        <v>315</v>
      </c>
      <c r="B14" s="231"/>
      <c r="C14" s="56" t="s">
        <v>198</v>
      </c>
      <c r="D14" s="225"/>
      <c r="E14" s="226">
        <v>1200</v>
      </c>
      <c r="F14" s="227">
        <v>1</v>
      </c>
      <c r="G14" s="34">
        <f t="shared" si="10"/>
        <v>1200</v>
      </c>
      <c r="I14" s="251"/>
      <c r="J14" s="34">
        <f t="shared" si="11"/>
        <v>0</v>
      </c>
      <c r="K14" s="36" t="str">
        <f t="shared" si="12"/>
        <v/>
      </c>
      <c r="L14" s="252" t="str">
        <f t="shared" si="13"/>
        <v/>
      </c>
      <c r="M14" s="261"/>
      <c r="N14" s="261"/>
      <c r="P14" s="109"/>
      <c r="Q14" s="110"/>
      <c r="R14" s="111"/>
      <c r="S14" s="112"/>
      <c r="T14" s="113"/>
      <c r="U14" s="114"/>
      <c r="V14" s="115">
        <f t="shared" ref="V14:V22" si="16">IF(U14="",0,U14-J14)</f>
        <v>0</v>
      </c>
      <c r="W14" s="116">
        <f t="shared" ref="W14:W22" si="17">IF(U14=0,0,V14/J14)</f>
        <v>0</v>
      </c>
      <c r="X14" s="111"/>
      <c r="Y14" s="107"/>
      <c r="Z14" s="117"/>
    </row>
    <row r="15" spans="1:26" x14ac:dyDescent="0.25">
      <c r="A15" s="56" t="s">
        <v>316</v>
      </c>
      <c r="B15" s="74" t="s">
        <v>177</v>
      </c>
      <c r="C15" s="56" t="s">
        <v>444</v>
      </c>
      <c r="D15" s="225" t="s">
        <v>449</v>
      </c>
      <c r="E15" s="226">
        <v>7000</v>
      </c>
      <c r="F15" s="227">
        <v>1</v>
      </c>
      <c r="G15" s="34">
        <f t="shared" si="10"/>
        <v>7000</v>
      </c>
      <c r="I15" s="251"/>
      <c r="J15" s="34">
        <f t="shared" si="11"/>
        <v>0</v>
      </c>
      <c r="K15" s="36" t="str">
        <f t="shared" si="12"/>
        <v/>
      </c>
      <c r="L15" s="252" t="str">
        <f t="shared" si="13"/>
        <v/>
      </c>
      <c r="M15" s="261"/>
      <c r="N15" s="261"/>
      <c r="P15" s="109"/>
      <c r="Q15" s="110"/>
      <c r="R15" s="111"/>
      <c r="S15" s="112"/>
      <c r="T15" s="113"/>
      <c r="U15" s="114"/>
      <c r="V15" s="115">
        <f t="shared" si="16"/>
        <v>0</v>
      </c>
      <c r="W15" s="116">
        <f t="shared" si="17"/>
        <v>0</v>
      </c>
      <c r="X15" s="111"/>
      <c r="Y15" s="107"/>
      <c r="Z15" s="117"/>
    </row>
    <row r="16" spans="1:26" ht="30" x14ac:dyDescent="0.25">
      <c r="A16" s="56" t="s">
        <v>317</v>
      </c>
      <c r="B16" s="72" t="s">
        <v>162</v>
      </c>
      <c r="C16" s="56" t="s">
        <v>418</v>
      </c>
      <c r="D16" s="225" t="s">
        <v>163</v>
      </c>
      <c r="E16" s="226">
        <v>6000</v>
      </c>
      <c r="F16" s="227">
        <v>1</v>
      </c>
      <c r="G16" s="34">
        <f t="shared" si="10"/>
        <v>6000</v>
      </c>
      <c r="I16" s="251"/>
      <c r="J16" s="34">
        <f t="shared" si="11"/>
        <v>0</v>
      </c>
      <c r="K16" s="36" t="str">
        <f t="shared" si="12"/>
        <v/>
      </c>
      <c r="L16" s="252" t="str">
        <f t="shared" si="13"/>
        <v/>
      </c>
      <c r="M16" s="261"/>
      <c r="N16" s="261"/>
      <c r="P16" s="109"/>
      <c r="Q16" s="110"/>
      <c r="R16" s="111"/>
      <c r="S16" s="112"/>
      <c r="T16" s="113"/>
      <c r="U16" s="114"/>
      <c r="V16" s="115">
        <f t="shared" si="16"/>
        <v>0</v>
      </c>
      <c r="W16" s="116">
        <f t="shared" si="17"/>
        <v>0</v>
      </c>
      <c r="X16" s="111"/>
      <c r="Y16" s="107"/>
      <c r="Z16" s="117"/>
    </row>
    <row r="17" spans="1:26" x14ac:dyDescent="0.25">
      <c r="A17" s="56" t="s">
        <v>318</v>
      </c>
      <c r="B17" s="75"/>
      <c r="C17" s="56" t="s">
        <v>436</v>
      </c>
      <c r="D17" s="225" t="s">
        <v>319</v>
      </c>
      <c r="E17" s="226">
        <v>3000</v>
      </c>
      <c r="F17" s="227">
        <v>1</v>
      </c>
      <c r="G17" s="34">
        <f t="shared" si="10"/>
        <v>3000</v>
      </c>
      <c r="I17" s="251"/>
      <c r="J17" s="34">
        <f t="shared" si="11"/>
        <v>0</v>
      </c>
      <c r="K17" s="36" t="str">
        <f t="shared" si="12"/>
        <v/>
      </c>
      <c r="L17" s="252" t="str">
        <f t="shared" si="13"/>
        <v/>
      </c>
      <c r="M17" s="261"/>
      <c r="N17" s="261"/>
      <c r="P17" s="109"/>
      <c r="Q17" s="110"/>
      <c r="R17" s="111"/>
      <c r="S17" s="112"/>
      <c r="T17" s="113"/>
      <c r="U17" s="114"/>
      <c r="V17" s="115">
        <f t="shared" si="16"/>
        <v>0</v>
      </c>
      <c r="W17" s="116">
        <f t="shared" si="17"/>
        <v>0</v>
      </c>
      <c r="X17" s="111"/>
      <c r="Y17" s="107"/>
      <c r="Z17" s="117"/>
    </row>
    <row r="18" spans="1:26" x14ac:dyDescent="0.25">
      <c r="A18" s="56" t="s">
        <v>320</v>
      </c>
      <c r="B18" s="75"/>
      <c r="C18" s="56" t="s">
        <v>321</v>
      </c>
      <c r="D18" s="226"/>
      <c r="E18" s="226">
        <v>300</v>
      </c>
      <c r="F18" s="227">
        <v>1</v>
      </c>
      <c r="G18" s="34">
        <f t="shared" si="10"/>
        <v>300</v>
      </c>
      <c r="I18" s="251"/>
      <c r="J18" s="34">
        <f t="shared" si="11"/>
        <v>0</v>
      </c>
      <c r="K18" s="36" t="str">
        <f t="shared" si="12"/>
        <v/>
      </c>
      <c r="L18" s="252" t="str">
        <f t="shared" si="13"/>
        <v/>
      </c>
      <c r="M18" s="261"/>
      <c r="N18" s="261"/>
      <c r="P18" s="109"/>
      <c r="Q18" s="110"/>
      <c r="R18" s="111"/>
      <c r="S18" s="112"/>
      <c r="T18" s="113"/>
      <c r="U18" s="114"/>
      <c r="V18" s="115">
        <f t="shared" si="16"/>
        <v>0</v>
      </c>
      <c r="W18" s="116">
        <f t="shared" si="17"/>
        <v>0</v>
      </c>
      <c r="X18" s="111"/>
      <c r="Y18" s="107"/>
      <c r="Z18" s="117"/>
    </row>
    <row r="19" spans="1:26" x14ac:dyDescent="0.25">
      <c r="A19" s="56" t="s">
        <v>322</v>
      </c>
      <c r="B19" s="232"/>
      <c r="C19" s="56" t="s">
        <v>41</v>
      </c>
      <c r="D19" s="225"/>
      <c r="E19" s="226">
        <v>1200</v>
      </c>
      <c r="F19" s="227">
        <v>1</v>
      </c>
      <c r="G19" s="34">
        <f t="shared" si="10"/>
        <v>1200</v>
      </c>
      <c r="I19" s="251"/>
      <c r="J19" s="34">
        <f t="shared" si="11"/>
        <v>0</v>
      </c>
      <c r="K19" s="36" t="str">
        <f t="shared" si="12"/>
        <v/>
      </c>
      <c r="L19" s="252" t="str">
        <f t="shared" si="13"/>
        <v/>
      </c>
      <c r="M19" s="261"/>
      <c r="N19" s="261"/>
      <c r="P19" s="109"/>
      <c r="Q19" s="110"/>
      <c r="R19" s="111"/>
      <c r="S19" s="112"/>
      <c r="T19" s="113"/>
      <c r="U19" s="114"/>
      <c r="V19" s="115">
        <f t="shared" si="16"/>
        <v>0</v>
      </c>
      <c r="W19" s="116">
        <f t="shared" si="17"/>
        <v>0</v>
      </c>
      <c r="X19" s="111"/>
      <c r="Y19" s="107"/>
      <c r="Z19" s="117"/>
    </row>
    <row r="20" spans="1:26" x14ac:dyDescent="0.25">
      <c r="A20" s="56" t="s">
        <v>323</v>
      </c>
      <c r="B20" s="232"/>
      <c r="C20" s="56" t="s">
        <v>417</v>
      </c>
      <c r="D20" s="225" t="s">
        <v>324</v>
      </c>
      <c r="E20" s="226">
        <v>5000</v>
      </c>
      <c r="F20" s="227">
        <v>1</v>
      </c>
      <c r="G20" s="34">
        <f t="shared" si="10"/>
        <v>5000</v>
      </c>
      <c r="I20" s="251"/>
      <c r="J20" s="34">
        <f t="shared" si="11"/>
        <v>0</v>
      </c>
      <c r="K20" s="36" t="str">
        <f t="shared" si="12"/>
        <v/>
      </c>
      <c r="L20" s="252" t="str">
        <f t="shared" si="13"/>
        <v/>
      </c>
      <c r="M20" s="261"/>
      <c r="N20" s="261"/>
      <c r="P20" s="109"/>
      <c r="Q20" s="110"/>
      <c r="R20" s="111"/>
      <c r="S20" s="112"/>
      <c r="T20" s="113"/>
      <c r="U20" s="114"/>
      <c r="V20" s="115">
        <f t="shared" si="16"/>
        <v>0</v>
      </c>
      <c r="W20" s="116">
        <f t="shared" si="17"/>
        <v>0</v>
      </c>
      <c r="X20" s="111"/>
      <c r="Y20" s="107"/>
      <c r="Z20" s="117"/>
    </row>
    <row r="21" spans="1:26" x14ac:dyDescent="0.25">
      <c r="A21" s="56" t="s">
        <v>325</v>
      </c>
      <c r="B21" s="72" t="s">
        <v>210</v>
      </c>
      <c r="C21" s="56" t="s">
        <v>39</v>
      </c>
      <c r="D21" s="225" t="s">
        <v>485</v>
      </c>
      <c r="E21" s="226">
        <v>1500</v>
      </c>
      <c r="F21" s="300">
        <f>F1*2</f>
        <v>0</v>
      </c>
      <c r="G21" s="34">
        <f t="shared" si="10"/>
        <v>0</v>
      </c>
      <c r="I21" s="251"/>
      <c r="J21" s="34">
        <f t="shared" si="11"/>
        <v>0</v>
      </c>
      <c r="K21" s="36" t="str">
        <f t="shared" si="12"/>
        <v/>
      </c>
      <c r="L21" s="252" t="str">
        <f t="shared" si="13"/>
        <v/>
      </c>
      <c r="M21" s="261"/>
      <c r="N21" s="261"/>
      <c r="P21" s="109"/>
      <c r="Q21" s="110"/>
      <c r="R21" s="111"/>
      <c r="S21" s="112"/>
      <c r="T21" s="113"/>
      <c r="U21" s="114"/>
      <c r="V21" s="115">
        <f t="shared" si="16"/>
        <v>0</v>
      </c>
      <c r="W21" s="116">
        <f t="shared" si="17"/>
        <v>0</v>
      </c>
      <c r="X21" s="111"/>
      <c r="Y21" s="107"/>
      <c r="Z21" s="117"/>
    </row>
    <row r="22" spans="1:26" x14ac:dyDescent="0.25">
      <c r="A22" s="56" t="s">
        <v>326</v>
      </c>
      <c r="B22" s="233" t="s">
        <v>212</v>
      </c>
      <c r="C22" s="56" t="s">
        <v>445</v>
      </c>
      <c r="D22" s="56" t="s">
        <v>463</v>
      </c>
      <c r="E22" s="226">
        <v>3000</v>
      </c>
      <c r="F22" s="227">
        <v>1</v>
      </c>
      <c r="G22" s="34">
        <f t="shared" si="10"/>
        <v>3000</v>
      </c>
      <c r="I22" s="251"/>
      <c r="J22" s="34">
        <f t="shared" si="11"/>
        <v>0</v>
      </c>
      <c r="K22" s="36" t="str">
        <f t="shared" si="12"/>
        <v/>
      </c>
      <c r="L22" s="252" t="str">
        <f t="shared" si="13"/>
        <v/>
      </c>
      <c r="M22" s="261"/>
      <c r="N22" s="261"/>
      <c r="P22" s="109"/>
      <c r="Q22" s="110"/>
      <c r="R22" s="111"/>
      <c r="S22" s="112"/>
      <c r="T22" s="113"/>
      <c r="U22" s="114"/>
      <c r="V22" s="115">
        <f t="shared" si="16"/>
        <v>0</v>
      </c>
      <c r="W22" s="116">
        <f t="shared" si="17"/>
        <v>0</v>
      </c>
      <c r="X22" s="111"/>
      <c r="Y22" s="107"/>
      <c r="Z22" s="117"/>
    </row>
    <row r="23" spans="1:26" x14ac:dyDescent="0.25">
      <c r="A23" s="56" t="s">
        <v>327</v>
      </c>
      <c r="B23" s="66" t="s">
        <v>328</v>
      </c>
      <c r="C23" s="44"/>
      <c r="D23" s="44"/>
      <c r="E23" s="67"/>
      <c r="F23" s="69"/>
      <c r="G23" s="234">
        <f>SUM(G13:G22)</f>
        <v>36700</v>
      </c>
      <c r="H23" s="48"/>
      <c r="I23" s="235"/>
      <c r="J23" s="234">
        <f>SUM(J13:J22)</f>
        <v>0</v>
      </c>
      <c r="K23" s="36" t="str">
        <f>IF(J23=0,"",IF(OR(J23-G23&gt;0,J23-G23&lt;0), (J23-G23)/G23, ""))</f>
        <v/>
      </c>
      <c r="L23" s="66" t="str">
        <f>B23</f>
        <v>סה"כ סלון קטן כולל מע"מ</v>
      </c>
      <c r="M23" s="44"/>
      <c r="N23" s="69"/>
      <c r="P23" s="234">
        <f>SUM(P13:P22)</f>
        <v>0</v>
      </c>
      <c r="Q23" s="149"/>
      <c r="R23" s="150"/>
      <c r="S23" s="151"/>
      <c r="T23" s="152"/>
      <c r="U23" s="234">
        <f>SUM(U13:U22)</f>
        <v>0</v>
      </c>
      <c r="V23" s="115">
        <f t="shared" ref="V23" si="18">IF(U23="",0,U23-J23)</f>
        <v>0</v>
      </c>
      <c r="W23" s="116">
        <f t="shared" ref="W23" si="19">IF(U23=0,0,V23/J23)</f>
        <v>0</v>
      </c>
      <c r="X23" s="150"/>
      <c r="Y23" s="154"/>
      <c r="Z23" s="155"/>
    </row>
    <row r="24" spans="1:26" x14ac:dyDescent="0.25">
      <c r="A24" s="66" t="s">
        <v>329</v>
      </c>
      <c r="B24" s="44"/>
      <c r="C24" s="44"/>
      <c r="D24" s="44"/>
      <c r="E24" s="67"/>
      <c r="F24" s="69"/>
      <c r="G24" s="234">
        <f>G11+G23</f>
        <v>49000</v>
      </c>
      <c r="H24" s="48"/>
      <c r="I24" s="235"/>
      <c r="J24" s="234">
        <f>J11+J23</f>
        <v>0</v>
      </c>
      <c r="K24" s="36" t="str">
        <f>IF(J24=0,"",IF(OR(J24-G24&gt;0,J24-G24&lt;0), (J24-G24)/G24, ""))</f>
        <v/>
      </c>
      <c r="L24" s="66" t="str">
        <f>A24</f>
        <v>סה"כ ציוד מטבחון וסלון קטן כולל מע"מ</v>
      </c>
      <c r="M24" s="44"/>
      <c r="N24" s="69"/>
      <c r="P24" s="234">
        <f>P11+P23</f>
        <v>0</v>
      </c>
      <c r="Q24" s="149"/>
      <c r="R24" s="150"/>
      <c r="S24" s="151"/>
      <c r="T24" s="152"/>
      <c r="U24" s="234">
        <f>U11+U23</f>
        <v>0</v>
      </c>
      <c r="V24" s="115">
        <f t="shared" ref="V24" si="20">IF(U24="",0,U24-J24)</f>
        <v>0</v>
      </c>
      <c r="W24" s="116">
        <f t="shared" ref="W24" si="21">IF(U24=0,0,V24/J24)</f>
        <v>0</v>
      </c>
      <c r="X24" s="150"/>
      <c r="Y24" s="154"/>
      <c r="Z24" s="155"/>
    </row>
  </sheetData>
  <sheetProtection password="CC3D" sheet="1" formatCells="0" formatColumns="0" formatRows="0"/>
  <conditionalFormatting sqref="K6:K11">
    <cfRule type="cellIs" dxfId="22" priority="8" operator="greaterThan">
      <formula>0</formula>
    </cfRule>
  </conditionalFormatting>
  <conditionalFormatting sqref="K13:K24">
    <cfRule type="cellIs" dxfId="21" priority="4" operator="greaterThan">
      <formula>0</formula>
    </cfRule>
  </conditionalFormatting>
  <conditionalFormatting sqref="L6:L10">
    <cfRule type="cellIs" dxfId="20" priority="5" operator="equal">
      <formula>"יש להסביר חריגה"</formula>
    </cfRule>
    <cfRule type="cellIs" dxfId="19" priority="6" operator="equal">
      <formula>"נא להסביר חריגה"</formula>
    </cfRule>
    <cfRule type="containsText" dxfId="18" priority="7" operator="containsText" text="נא להסביר חריגה כאן">
      <formula>NOT(ISERROR(SEARCH("נא להסביר חריגה כאן",L6)))</formula>
    </cfRule>
  </conditionalFormatting>
  <conditionalFormatting sqref="L13:L22">
    <cfRule type="cellIs" dxfId="17" priority="1" operator="equal">
      <formula>"יש להסביר חריגה"</formula>
    </cfRule>
    <cfRule type="cellIs" dxfId="16" priority="2" operator="equal">
      <formula>"נא להסביר חריגה"</formula>
    </cfRule>
    <cfRule type="containsText" dxfId="15" priority="3" operator="containsText" text="נא להסביר חריגה כאן">
      <formula>NOT(ISERROR(SEARCH("נא להסביר חריגה כאן",L13)))</formula>
    </cfRule>
  </conditionalFormatting>
  <conditionalFormatting sqref="P5:P10">
    <cfRule type="containsText" dxfId="14" priority="15" operator="containsText" text="נא להסביר חריגה כאן">
      <formula>NOT(ISERROR(SEARCH("נא להסביר חריגה כאן",P5)))</formula>
    </cfRule>
  </conditionalFormatting>
  <conditionalFormatting sqref="P12:P22">
    <cfRule type="containsText" dxfId="13" priority="13" operator="containsText" text="נא להסביר חריגה כאן">
      <formula>NOT(ISERROR(SEARCH("נא להסביר חריגה כאן",P12)))</formula>
    </cfRule>
  </conditionalFormatting>
  <conditionalFormatting sqref="V5:W24">
    <cfRule type="cellIs" dxfId="12" priority="10" operator="greaterThan">
      <formula>0</formula>
    </cfRule>
  </conditionalFormatting>
  <dataValidations count="1">
    <dataValidation type="list" allowBlank="1" showInputMessage="1" showErrorMessage="1" sqref="M6:M10 M13:M22">
      <formula1>"מאושר, לא מאושר"</formula1>
    </dataValidation>
  </dataValidation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4"/>
  <sheetViews>
    <sheetView rightToLeft="1" zoomScale="80" zoomScaleNormal="80" workbookViewId="0">
      <pane xSplit="3" ySplit="5" topLeftCell="D6" activePane="bottomRight" state="frozen"/>
      <selection pane="topRight" activeCell="D1" sqref="D1"/>
      <selection pane="bottomLeft" activeCell="A5" sqref="A5"/>
      <selection pane="bottomRight"/>
    </sheetView>
  </sheetViews>
  <sheetFormatPr defaultColWidth="9" defaultRowHeight="15" outlineLevelCol="1" x14ac:dyDescent="0.25"/>
  <cols>
    <col min="1" max="1" width="9" style="24" customWidth="1"/>
    <col min="2" max="2" width="17.875" style="23" customWidth="1"/>
    <col min="3" max="3" width="32.375" style="23" customWidth="1"/>
    <col min="4" max="4" width="17.875" style="23" customWidth="1"/>
    <col min="5" max="5" width="9.75" style="24" bestFit="1" customWidth="1"/>
    <col min="6" max="6" width="6.25" style="24" customWidth="1"/>
    <col min="7" max="7" width="12.875" style="24" customWidth="1"/>
    <col min="8" max="8" width="1.375" style="23" customWidth="1"/>
    <col min="9" max="9" width="9.75" style="24" customWidth="1"/>
    <col min="10" max="10" width="12" style="24" customWidth="1"/>
    <col min="11" max="11" width="8.375" style="23" customWidth="1"/>
    <col min="12" max="12" width="24.125" style="23" customWidth="1"/>
    <col min="13" max="13" width="12.75" style="23" customWidth="1"/>
    <col min="14" max="14" width="17.875" style="23" customWidth="1"/>
    <col min="15" max="15" width="3.375" style="23" customWidth="1"/>
    <col min="16" max="16" width="12" style="23" hidden="1" customWidth="1" outlineLevel="1"/>
    <col min="17" max="20" width="0" style="23" hidden="1" customWidth="1" outlineLevel="1"/>
    <col min="21" max="21" width="11.625" style="23" hidden="1" customWidth="1" outlineLevel="1"/>
    <col min="22" max="22" width="14" style="23" hidden="1" customWidth="1" outlineLevel="1"/>
    <col min="23" max="25" width="0" style="23" hidden="1" customWidth="1" outlineLevel="1"/>
    <col min="26" max="26" width="10.75" style="23" hidden="1" customWidth="1" outlineLevel="1"/>
    <col min="27" max="27" width="9" style="23" collapsed="1"/>
    <col min="28" max="16384" width="9" style="23"/>
  </cols>
  <sheetData>
    <row r="1" spans="1:26" ht="18.75" x14ac:dyDescent="0.3">
      <c r="A1" s="9" t="str">
        <f>'תוכן עניינים'!$B$7</f>
        <v>תקן ריהוט וציוד לדיור  קהילתי - גירסה: 07/09/26</v>
      </c>
      <c r="E1" s="83" t="str">
        <f>'שאלון למילוי הגוף-חובה'!C39</f>
        <v>אנשים עם לקויות מוטוריות</v>
      </c>
      <c r="F1" s="84">
        <f>'שאלון למילוי הגוף-חובה'!D39</f>
        <v>0</v>
      </c>
      <c r="G1" s="9"/>
      <c r="I1" s="19" t="s">
        <v>304</v>
      </c>
      <c r="L1" s="299" t="str">
        <f>'שאלון למילוי הגוף-חובה'!$C$10&amp;" : "&amp;'שאלון למילוי הגוף-חובה'!$D$10</f>
        <v xml:space="preserve">שם הגוף המבקש : </v>
      </c>
    </row>
    <row r="2" spans="1:26" ht="18.75" x14ac:dyDescent="0.3">
      <c r="A2" s="24">
        <v>5</v>
      </c>
      <c r="B2" s="192" t="s">
        <v>330</v>
      </c>
      <c r="C2" s="192"/>
      <c r="D2" s="24"/>
      <c r="E2" s="83" t="str">
        <f>'שאלון למילוי הגוף-חובה'!C40</f>
        <v>אנשים עם לקויות חושיות</v>
      </c>
      <c r="F2" s="84">
        <f>'שאלון למילוי הגוף-חובה'!D40</f>
        <v>0</v>
      </c>
      <c r="G2" s="9"/>
      <c r="L2" s="299" t="str">
        <f>'שאלון למילוי הגוף-חובה'!$C$18&amp;" : "&amp;'שאלון למילוי הגוף-חובה'!$D$18</f>
        <v xml:space="preserve">שם המסגרת : </v>
      </c>
    </row>
    <row r="3" spans="1:26" x14ac:dyDescent="0.25">
      <c r="B3" s="192"/>
      <c r="C3" s="192"/>
      <c r="D3" s="24"/>
      <c r="E3" s="83" t="str">
        <f>'שאלון למילוי הגוף-חובה'!C41</f>
        <v>אנשים בתפקוד נמוך  ו/או התנהגות מאתגרת</v>
      </c>
      <c r="F3" s="84">
        <f>'שאלון למילוי הגוף-חובה'!D41</f>
        <v>0</v>
      </c>
      <c r="G3" s="9"/>
    </row>
    <row r="4" spans="1:26" x14ac:dyDescent="0.25">
      <c r="A4" s="95"/>
      <c r="B4" s="27"/>
      <c r="C4" s="27" t="s">
        <v>146</v>
      </c>
      <c r="D4" s="27"/>
      <c r="E4" s="218"/>
      <c r="F4" s="27"/>
      <c r="G4" s="28"/>
      <c r="I4" s="26" t="s">
        <v>391</v>
      </c>
      <c r="J4" s="27"/>
      <c r="K4" s="27"/>
      <c r="L4" s="28"/>
      <c r="M4" s="27" t="s">
        <v>392</v>
      </c>
      <c r="N4" s="28"/>
      <c r="P4" s="57" t="s">
        <v>393</v>
      </c>
      <c r="Q4" s="27"/>
      <c r="R4" s="27" t="s">
        <v>394</v>
      </c>
      <c r="S4" s="27"/>
      <c r="T4" s="27"/>
      <c r="U4" s="27"/>
      <c r="V4" s="27"/>
      <c r="W4" s="27"/>
      <c r="X4" s="27"/>
      <c r="Y4" s="27"/>
      <c r="Z4" s="28"/>
    </row>
    <row r="5" spans="1:26" ht="90" x14ac:dyDescent="0.25">
      <c r="A5" s="57" t="s">
        <v>147</v>
      </c>
      <c r="B5" s="29" t="s">
        <v>148</v>
      </c>
      <c r="C5" s="21" t="s">
        <v>149</v>
      </c>
      <c r="D5" s="21" t="s">
        <v>410</v>
      </c>
      <c r="E5" s="21" t="s">
        <v>171</v>
      </c>
      <c r="F5" s="56" t="s">
        <v>172</v>
      </c>
      <c r="G5" s="21" t="s">
        <v>173</v>
      </c>
      <c r="I5" s="30" t="s">
        <v>153</v>
      </c>
      <c r="J5" s="30" t="s">
        <v>154</v>
      </c>
      <c r="K5" s="31" t="s">
        <v>155</v>
      </c>
      <c r="L5" s="21" t="s">
        <v>156</v>
      </c>
      <c r="M5" s="21" t="s">
        <v>157</v>
      </c>
      <c r="N5" s="21" t="s">
        <v>158</v>
      </c>
      <c r="P5" s="103" t="s">
        <v>395</v>
      </c>
      <c r="Q5" s="104" t="s">
        <v>396</v>
      </c>
      <c r="R5" s="105" t="s">
        <v>397</v>
      </c>
      <c r="S5" s="105" t="s">
        <v>398</v>
      </c>
      <c r="T5" s="105" t="s">
        <v>399</v>
      </c>
      <c r="U5" s="106" t="s">
        <v>400</v>
      </c>
      <c r="V5" s="106" t="s">
        <v>401</v>
      </c>
      <c r="W5" s="105" t="s">
        <v>402</v>
      </c>
      <c r="X5" s="105" t="s">
        <v>403</v>
      </c>
      <c r="Y5" s="107" t="s">
        <v>404</v>
      </c>
      <c r="Z5" s="108" t="s">
        <v>405</v>
      </c>
    </row>
    <row r="6" spans="1:26" x14ac:dyDescent="0.25">
      <c r="A6" s="20">
        <v>5.0999999999999996</v>
      </c>
      <c r="B6" s="32" t="s">
        <v>331</v>
      </c>
      <c r="C6" s="21" t="s">
        <v>332</v>
      </c>
      <c r="D6" s="21" t="s">
        <v>476</v>
      </c>
      <c r="E6" s="34">
        <v>12000</v>
      </c>
      <c r="F6" s="35">
        <v>1</v>
      </c>
      <c r="G6" s="34">
        <f>E6*F6</f>
        <v>12000</v>
      </c>
      <c r="I6" s="251"/>
      <c r="J6" s="34">
        <f t="shared" ref="J6:J23" si="0">IF(G6=0,0,I6*E6)</f>
        <v>0</v>
      </c>
      <c r="K6" s="36" t="str">
        <f t="shared" ref="K6" si="1">IF(J6=0,"",IF(OR(J6-$G6&gt;0,J6-$G6&lt;0), (J6-$G6)/$G6, ""))</f>
        <v/>
      </c>
      <c r="L6" s="252" t="str">
        <f>IF(I6&gt;F6,"יש להסביר חריגה","")</f>
        <v/>
      </c>
      <c r="M6" s="261"/>
      <c r="N6" s="261"/>
      <c r="P6" s="109"/>
      <c r="Q6" s="110"/>
      <c r="R6" s="111"/>
      <c r="S6" s="112"/>
      <c r="T6" s="113"/>
      <c r="U6" s="114"/>
      <c r="V6" s="115">
        <f>IF(U6="",0,U6-J6)</f>
        <v>0</v>
      </c>
      <c r="W6" s="116">
        <f>IF(U6=0,0,V6/J6)</f>
        <v>0</v>
      </c>
      <c r="X6" s="111"/>
      <c r="Y6" s="107"/>
      <c r="Z6" s="117"/>
    </row>
    <row r="7" spans="1:26" x14ac:dyDescent="0.25">
      <c r="A7" s="20">
        <v>5.2</v>
      </c>
      <c r="B7" s="37" t="s">
        <v>333</v>
      </c>
      <c r="C7" s="21" t="s">
        <v>450</v>
      </c>
      <c r="D7" s="21" t="s">
        <v>477</v>
      </c>
      <c r="E7" s="34">
        <v>9000</v>
      </c>
      <c r="F7" s="35">
        <v>1</v>
      </c>
      <c r="G7" s="34">
        <f t="shared" ref="G7:G18" si="2">E7*F7</f>
        <v>9000</v>
      </c>
      <c r="I7" s="251"/>
      <c r="J7" s="34">
        <f t="shared" si="0"/>
        <v>0</v>
      </c>
      <c r="K7" s="36" t="str">
        <f t="shared" ref="K7:K16" si="3">IF(J7=0,"",IF(OR(J7-$G7&gt;0,J7-$G7&lt;0), (J7-$G7)/$G7, ""))</f>
        <v/>
      </c>
      <c r="L7" s="252" t="str">
        <f t="shared" ref="L7:L23" si="4">IF(I7&gt;F7,"יש להסביר חריגה","")</f>
        <v/>
      </c>
      <c r="M7" s="261"/>
      <c r="N7" s="261"/>
      <c r="P7" s="109"/>
      <c r="Q7" s="110"/>
      <c r="R7" s="111"/>
      <c r="S7" s="112"/>
      <c r="T7" s="113"/>
      <c r="U7" s="114"/>
      <c r="V7" s="115">
        <f t="shared" ref="V7:V18" si="5">IF(U7="",0,U7-J7)</f>
        <v>0</v>
      </c>
      <c r="W7" s="116">
        <f t="shared" ref="W7:W18" si="6">IF(U7=0,0,V7/J7)</f>
        <v>0</v>
      </c>
      <c r="X7" s="111"/>
      <c r="Y7" s="107"/>
      <c r="Z7" s="117"/>
    </row>
    <row r="8" spans="1:26" x14ac:dyDescent="0.25">
      <c r="A8" s="20">
        <v>5.3</v>
      </c>
      <c r="B8" s="37"/>
      <c r="C8" s="21" t="s">
        <v>334</v>
      </c>
      <c r="D8" s="21"/>
      <c r="E8" s="34">
        <v>2500</v>
      </c>
      <c r="F8" s="35">
        <v>1</v>
      </c>
      <c r="G8" s="34">
        <f t="shared" si="2"/>
        <v>2500</v>
      </c>
      <c r="I8" s="251"/>
      <c r="J8" s="34">
        <f t="shared" si="0"/>
        <v>0</v>
      </c>
      <c r="K8" s="36" t="str">
        <f t="shared" si="3"/>
        <v/>
      </c>
      <c r="L8" s="252" t="str">
        <f t="shared" si="4"/>
        <v/>
      </c>
      <c r="M8" s="261"/>
      <c r="N8" s="261"/>
      <c r="P8" s="109"/>
      <c r="Q8" s="110"/>
      <c r="R8" s="111"/>
      <c r="S8" s="112"/>
      <c r="T8" s="113"/>
      <c r="U8" s="114"/>
      <c r="V8" s="115">
        <f t="shared" si="5"/>
        <v>0</v>
      </c>
      <c r="W8" s="116">
        <f t="shared" si="6"/>
        <v>0</v>
      </c>
      <c r="X8" s="111"/>
      <c r="Y8" s="107"/>
      <c r="Z8" s="117"/>
    </row>
    <row r="9" spans="1:26" x14ac:dyDescent="0.25">
      <c r="A9" s="20">
        <v>5.4</v>
      </c>
      <c r="B9" s="37"/>
      <c r="C9" s="304" t="s">
        <v>468</v>
      </c>
      <c r="D9" s="21"/>
      <c r="E9" s="34">
        <v>1200</v>
      </c>
      <c r="F9" s="35">
        <v>1</v>
      </c>
      <c r="G9" s="34">
        <f t="shared" si="2"/>
        <v>1200</v>
      </c>
      <c r="I9" s="251"/>
      <c r="J9" s="34">
        <f t="shared" si="0"/>
        <v>0</v>
      </c>
      <c r="K9" s="36" t="str">
        <f t="shared" si="3"/>
        <v/>
      </c>
      <c r="L9" s="252" t="str">
        <f t="shared" si="4"/>
        <v/>
      </c>
      <c r="M9" s="261"/>
      <c r="N9" s="261"/>
      <c r="P9" s="109"/>
      <c r="Q9" s="110"/>
      <c r="R9" s="111"/>
      <c r="S9" s="112"/>
      <c r="T9" s="113"/>
      <c r="U9" s="114"/>
      <c r="V9" s="115">
        <f t="shared" si="5"/>
        <v>0</v>
      </c>
      <c r="W9" s="116">
        <f t="shared" si="6"/>
        <v>0</v>
      </c>
      <c r="X9" s="111"/>
      <c r="Y9" s="107"/>
      <c r="Z9" s="117"/>
    </row>
    <row r="10" spans="1:26" x14ac:dyDescent="0.25">
      <c r="A10" s="20">
        <v>5.5</v>
      </c>
      <c r="B10" s="37"/>
      <c r="C10" s="21" t="s">
        <v>335</v>
      </c>
      <c r="D10" s="21" t="s">
        <v>476</v>
      </c>
      <c r="E10" s="34">
        <v>25000</v>
      </c>
      <c r="F10" s="35">
        <v>1</v>
      </c>
      <c r="G10" s="34">
        <f t="shared" si="2"/>
        <v>25000</v>
      </c>
      <c r="I10" s="251"/>
      <c r="J10" s="34">
        <f t="shared" si="0"/>
        <v>0</v>
      </c>
      <c r="K10" s="36" t="str">
        <f t="shared" si="3"/>
        <v/>
      </c>
      <c r="L10" s="252" t="str">
        <f t="shared" si="4"/>
        <v/>
      </c>
      <c r="M10" s="261"/>
      <c r="N10" s="261"/>
      <c r="P10" s="109"/>
      <c r="Q10" s="110"/>
      <c r="R10" s="111"/>
      <c r="S10" s="112"/>
      <c r="T10" s="113"/>
      <c r="U10" s="114"/>
      <c r="V10" s="115">
        <f t="shared" si="5"/>
        <v>0</v>
      </c>
      <c r="W10" s="116">
        <f t="shared" si="6"/>
        <v>0</v>
      </c>
      <c r="X10" s="111"/>
      <c r="Y10" s="107"/>
      <c r="Z10" s="117"/>
    </row>
    <row r="11" spans="1:26" x14ac:dyDescent="0.25">
      <c r="A11" s="20">
        <v>5.6</v>
      </c>
      <c r="B11" s="37"/>
      <c r="C11" s="21" t="s">
        <v>458</v>
      </c>
      <c r="D11" s="21"/>
      <c r="E11" s="34">
        <v>5000</v>
      </c>
      <c r="F11" s="35">
        <v>1</v>
      </c>
      <c r="G11" s="34">
        <f t="shared" si="2"/>
        <v>5000</v>
      </c>
      <c r="I11" s="251"/>
      <c r="J11" s="34">
        <f t="shared" si="0"/>
        <v>0</v>
      </c>
      <c r="K11" s="36" t="str">
        <f t="shared" si="3"/>
        <v/>
      </c>
      <c r="L11" s="252" t="str">
        <f t="shared" si="4"/>
        <v/>
      </c>
      <c r="M11" s="261"/>
      <c r="N11" s="261"/>
      <c r="P11" s="109"/>
      <c r="Q11" s="110"/>
      <c r="R11" s="111"/>
      <c r="S11" s="112"/>
      <c r="T11" s="113"/>
      <c r="U11" s="114"/>
      <c r="V11" s="115">
        <f t="shared" si="5"/>
        <v>0</v>
      </c>
      <c r="W11" s="116">
        <f t="shared" si="6"/>
        <v>0</v>
      </c>
      <c r="X11" s="111"/>
      <c r="Y11" s="107"/>
      <c r="Z11" s="117"/>
    </row>
    <row r="12" spans="1:26" x14ac:dyDescent="0.25">
      <c r="A12" s="20">
        <v>5.7</v>
      </c>
      <c r="B12" s="37"/>
      <c r="C12" s="21" t="s">
        <v>336</v>
      </c>
      <c r="D12" s="21"/>
      <c r="E12" s="34">
        <v>1200</v>
      </c>
      <c r="F12" s="35">
        <v>1</v>
      </c>
      <c r="G12" s="34">
        <f t="shared" si="2"/>
        <v>1200</v>
      </c>
      <c r="I12" s="251"/>
      <c r="J12" s="34">
        <f t="shared" si="0"/>
        <v>0</v>
      </c>
      <c r="K12" s="36" t="str">
        <f t="shared" si="3"/>
        <v/>
      </c>
      <c r="L12" s="252" t="str">
        <f t="shared" si="4"/>
        <v/>
      </c>
      <c r="M12" s="261"/>
      <c r="N12" s="261"/>
      <c r="P12" s="109"/>
      <c r="Q12" s="110"/>
      <c r="R12" s="111"/>
      <c r="S12" s="112"/>
      <c r="T12" s="113"/>
      <c r="U12" s="114"/>
      <c r="V12" s="115">
        <f t="shared" si="5"/>
        <v>0</v>
      </c>
      <c r="W12" s="116">
        <f t="shared" si="6"/>
        <v>0</v>
      </c>
      <c r="X12" s="111"/>
      <c r="Y12" s="107"/>
      <c r="Z12" s="117"/>
    </row>
    <row r="13" spans="1:26" x14ac:dyDescent="0.25">
      <c r="A13" s="20">
        <v>5.8</v>
      </c>
      <c r="B13" s="38"/>
      <c r="C13" s="21" t="s">
        <v>337</v>
      </c>
      <c r="D13" s="21"/>
      <c r="E13" s="34">
        <v>1000</v>
      </c>
      <c r="F13" s="35">
        <v>1</v>
      </c>
      <c r="G13" s="34">
        <f t="shared" si="2"/>
        <v>1000</v>
      </c>
      <c r="I13" s="251"/>
      <c r="J13" s="34">
        <f t="shared" si="0"/>
        <v>0</v>
      </c>
      <c r="K13" s="36" t="str">
        <f t="shared" si="3"/>
        <v/>
      </c>
      <c r="L13" s="252" t="str">
        <f t="shared" si="4"/>
        <v/>
      </c>
      <c r="M13" s="261"/>
      <c r="N13" s="261"/>
      <c r="P13" s="109"/>
      <c r="Q13" s="110"/>
      <c r="R13" s="111"/>
      <c r="S13" s="112"/>
      <c r="T13" s="113"/>
      <c r="U13" s="114"/>
      <c r="V13" s="115">
        <f t="shared" si="5"/>
        <v>0</v>
      </c>
      <c r="W13" s="116">
        <f t="shared" si="6"/>
        <v>0</v>
      </c>
      <c r="X13" s="111"/>
      <c r="Y13" s="107"/>
      <c r="Z13" s="117"/>
    </row>
    <row r="14" spans="1:26" ht="30" x14ac:dyDescent="0.25">
      <c r="A14" s="20">
        <v>5.9</v>
      </c>
      <c r="B14" s="32" t="s">
        <v>338</v>
      </c>
      <c r="C14" s="21" t="s">
        <v>339</v>
      </c>
      <c r="D14" s="21"/>
      <c r="E14" s="303">
        <v>4000</v>
      </c>
      <c r="F14" s="35">
        <v>1</v>
      </c>
      <c r="G14" s="34">
        <f t="shared" si="2"/>
        <v>4000</v>
      </c>
      <c r="I14" s="251"/>
      <c r="J14" s="34">
        <f t="shared" si="0"/>
        <v>0</v>
      </c>
      <c r="K14" s="36" t="str">
        <f t="shared" si="3"/>
        <v/>
      </c>
      <c r="L14" s="252" t="str">
        <f t="shared" si="4"/>
        <v/>
      </c>
      <c r="M14" s="261"/>
      <c r="N14" s="261"/>
      <c r="P14" s="109"/>
      <c r="Q14" s="110"/>
      <c r="R14" s="111"/>
      <c r="S14" s="112"/>
      <c r="T14" s="113"/>
      <c r="U14" s="114"/>
      <c r="V14" s="115">
        <f t="shared" si="5"/>
        <v>0</v>
      </c>
      <c r="W14" s="116">
        <f t="shared" si="6"/>
        <v>0</v>
      </c>
      <c r="X14" s="111"/>
      <c r="Y14" s="107"/>
      <c r="Z14" s="117"/>
    </row>
    <row r="15" spans="1:26" x14ac:dyDescent="0.25">
      <c r="A15" s="40">
        <v>5.0999999999999996</v>
      </c>
      <c r="B15" s="41" t="s">
        <v>331</v>
      </c>
      <c r="C15" s="56" t="s">
        <v>340</v>
      </c>
      <c r="D15" s="21" t="s">
        <v>476</v>
      </c>
      <c r="E15" s="303">
        <v>14000</v>
      </c>
      <c r="F15" s="35">
        <v>1</v>
      </c>
      <c r="G15" s="34">
        <f t="shared" si="2"/>
        <v>14000</v>
      </c>
      <c r="I15" s="251"/>
      <c r="J15" s="34">
        <f t="shared" si="0"/>
        <v>0</v>
      </c>
      <c r="K15" s="36" t="str">
        <f t="shared" si="3"/>
        <v/>
      </c>
      <c r="L15" s="252" t="str">
        <f t="shared" si="4"/>
        <v/>
      </c>
      <c r="M15" s="261"/>
      <c r="N15" s="261"/>
      <c r="P15" s="109"/>
      <c r="Q15" s="110"/>
      <c r="R15" s="111"/>
      <c r="S15" s="112"/>
      <c r="T15" s="113"/>
      <c r="U15" s="114"/>
      <c r="V15" s="115">
        <f t="shared" si="5"/>
        <v>0</v>
      </c>
      <c r="W15" s="116">
        <f t="shared" si="6"/>
        <v>0</v>
      </c>
      <c r="X15" s="111"/>
      <c r="Y15" s="107"/>
      <c r="Z15" s="117"/>
    </row>
    <row r="16" spans="1:26" x14ac:dyDescent="0.25">
      <c r="A16" s="40">
        <v>5.1100000000000003</v>
      </c>
      <c r="B16" s="42" t="s">
        <v>341</v>
      </c>
      <c r="C16" s="56" t="s">
        <v>342</v>
      </c>
      <c r="D16" s="21"/>
      <c r="E16" s="303">
        <v>1500</v>
      </c>
      <c r="F16" s="35">
        <v>1</v>
      </c>
      <c r="G16" s="34">
        <f t="shared" si="2"/>
        <v>1500</v>
      </c>
      <c r="I16" s="251"/>
      <c r="J16" s="34">
        <f t="shared" si="0"/>
        <v>0</v>
      </c>
      <c r="K16" s="36" t="str">
        <f t="shared" si="3"/>
        <v/>
      </c>
      <c r="L16" s="252" t="str">
        <f t="shared" si="4"/>
        <v/>
      </c>
      <c r="M16" s="261"/>
      <c r="N16" s="261"/>
      <c r="P16" s="109"/>
      <c r="Q16" s="110"/>
      <c r="R16" s="111"/>
      <c r="S16" s="112"/>
      <c r="T16" s="113"/>
      <c r="U16" s="114"/>
      <c r="V16" s="115">
        <f t="shared" si="5"/>
        <v>0</v>
      </c>
      <c r="W16" s="116">
        <f t="shared" si="6"/>
        <v>0</v>
      </c>
      <c r="X16" s="111"/>
      <c r="Y16" s="107"/>
      <c r="Z16" s="117"/>
    </row>
    <row r="17" spans="1:26" x14ac:dyDescent="0.25">
      <c r="A17" s="40">
        <v>5.12</v>
      </c>
      <c r="B17" s="42"/>
      <c r="C17" s="56" t="s">
        <v>343</v>
      </c>
      <c r="D17" s="21"/>
      <c r="E17" s="303">
        <v>4000</v>
      </c>
      <c r="F17" s="35">
        <v>1</v>
      </c>
      <c r="G17" s="34">
        <f t="shared" si="2"/>
        <v>4000</v>
      </c>
      <c r="I17" s="251"/>
      <c r="J17" s="34">
        <f t="shared" si="0"/>
        <v>0</v>
      </c>
      <c r="K17" s="36" t="str">
        <f t="shared" ref="K17:K18" si="7">IF(J17=0,"",IF(OR(J17-$G17&gt;0,J17-$G17&lt;0), (J17-$G17)/$G17, ""))</f>
        <v/>
      </c>
      <c r="L17" s="252" t="str">
        <f t="shared" si="4"/>
        <v/>
      </c>
      <c r="M17" s="261"/>
      <c r="N17" s="261"/>
      <c r="P17" s="109"/>
      <c r="Q17" s="110"/>
      <c r="R17" s="111"/>
      <c r="S17" s="112"/>
      <c r="T17" s="113"/>
      <c r="U17" s="114"/>
      <c r="V17" s="115">
        <f t="shared" si="5"/>
        <v>0</v>
      </c>
      <c r="W17" s="116">
        <f t="shared" si="6"/>
        <v>0</v>
      </c>
      <c r="X17" s="111"/>
      <c r="Y17" s="107"/>
      <c r="Z17" s="117"/>
    </row>
    <row r="18" spans="1:26" s="48" customFormat="1" x14ac:dyDescent="0.25">
      <c r="A18" s="40">
        <v>5.13</v>
      </c>
      <c r="B18" s="43"/>
      <c r="C18" s="56" t="s">
        <v>344</v>
      </c>
      <c r="D18" s="21" t="s">
        <v>476</v>
      </c>
      <c r="E18" s="303">
        <v>19000</v>
      </c>
      <c r="F18" s="35">
        <v>1</v>
      </c>
      <c r="G18" s="34">
        <f t="shared" si="2"/>
        <v>19000</v>
      </c>
      <c r="H18" s="23"/>
      <c r="I18" s="251"/>
      <c r="J18" s="34">
        <f t="shared" si="0"/>
        <v>0</v>
      </c>
      <c r="K18" s="36" t="str">
        <f t="shared" si="7"/>
        <v/>
      </c>
      <c r="L18" s="252" t="str">
        <f t="shared" si="4"/>
        <v/>
      </c>
      <c r="M18" s="261"/>
      <c r="N18" s="261"/>
      <c r="O18" s="23"/>
      <c r="P18" s="109"/>
      <c r="Q18" s="110"/>
      <c r="R18" s="111"/>
      <c r="S18" s="112"/>
      <c r="T18" s="113"/>
      <c r="U18" s="114"/>
      <c r="V18" s="115">
        <f t="shared" si="5"/>
        <v>0</v>
      </c>
      <c r="W18" s="116">
        <f t="shared" si="6"/>
        <v>0</v>
      </c>
      <c r="X18" s="111"/>
      <c r="Y18" s="107"/>
      <c r="Z18" s="117"/>
    </row>
    <row r="19" spans="1:26" ht="30" x14ac:dyDescent="0.25">
      <c r="A19" s="40">
        <v>5.14</v>
      </c>
      <c r="B19" s="32" t="s">
        <v>345</v>
      </c>
      <c r="C19" s="27" t="str">
        <f>'חדרי שינה'!C5</f>
        <v>ארון איחסון</v>
      </c>
      <c r="D19" s="21" t="s">
        <v>473</v>
      </c>
      <c r="E19" s="34">
        <v>4500</v>
      </c>
      <c r="F19" s="35">
        <v>1</v>
      </c>
      <c r="G19" s="34">
        <f t="shared" ref="G19:G23" si="8">E19*F19</f>
        <v>4500</v>
      </c>
      <c r="I19" s="251"/>
      <c r="J19" s="34">
        <f t="shared" si="0"/>
        <v>0</v>
      </c>
      <c r="K19" s="36" t="str">
        <f t="shared" ref="K19" si="9">IF(J19=0,"",IF(OR(J19-$G19&gt;0,J19-$G19&lt;0), (J19-$G19)/$G19, ""))</f>
        <v/>
      </c>
      <c r="L19" s="252" t="str">
        <f t="shared" si="4"/>
        <v/>
      </c>
      <c r="M19" s="261"/>
      <c r="N19" s="261"/>
      <c r="P19" s="109"/>
      <c r="Q19" s="110"/>
      <c r="R19" s="111"/>
      <c r="S19" s="112"/>
      <c r="T19" s="113"/>
      <c r="U19" s="114"/>
      <c r="V19" s="115">
        <f t="shared" ref="V19:V23" si="10">IF(U19="",0,U19-J19)</f>
        <v>0</v>
      </c>
      <c r="W19" s="116">
        <f t="shared" ref="W19:W23" si="11">IF(U19=0,0,V19/J19)</f>
        <v>0</v>
      </c>
      <c r="X19" s="111"/>
      <c r="Y19" s="107"/>
      <c r="Z19" s="117"/>
    </row>
    <row r="20" spans="1:26" ht="30" x14ac:dyDescent="0.25">
      <c r="A20" s="40">
        <v>5.15</v>
      </c>
      <c r="B20" s="45"/>
      <c r="C20" s="27" t="str">
        <f>'חדרי שינה'!C6</f>
        <v>שולחן</v>
      </c>
      <c r="D20" s="21" t="s">
        <v>473</v>
      </c>
      <c r="E20" s="34">
        <v>3500</v>
      </c>
      <c r="F20" s="35">
        <v>1</v>
      </c>
      <c r="G20" s="34">
        <f t="shared" si="8"/>
        <v>3500</v>
      </c>
      <c r="I20" s="251"/>
      <c r="J20" s="34">
        <f t="shared" si="0"/>
        <v>0</v>
      </c>
      <c r="K20" s="36" t="str">
        <f t="shared" ref="K20:K23" si="12">IF(J20=0,"",IF(OR(J20-$G20&gt;0,J20-$G20&lt;0), (J20-$G20)/$G20, ""))</f>
        <v/>
      </c>
      <c r="L20" s="252" t="str">
        <f t="shared" si="4"/>
        <v/>
      </c>
      <c r="M20" s="261"/>
      <c r="N20" s="261"/>
      <c r="P20" s="109"/>
      <c r="Q20" s="110"/>
      <c r="R20" s="111"/>
      <c r="S20" s="112"/>
      <c r="T20" s="113"/>
      <c r="U20" s="114"/>
      <c r="V20" s="115">
        <f t="shared" si="10"/>
        <v>0</v>
      </c>
      <c r="W20" s="116">
        <f t="shared" si="11"/>
        <v>0</v>
      </c>
      <c r="X20" s="111"/>
      <c r="Y20" s="107"/>
      <c r="Z20" s="117"/>
    </row>
    <row r="21" spans="1:26" ht="30" x14ac:dyDescent="0.25">
      <c r="A21" s="40">
        <v>5.16</v>
      </c>
      <c r="B21" s="45"/>
      <c r="C21" s="27" t="str">
        <f>'חדרי שינה'!C8</f>
        <v>מיטה + ארגז מצעים</v>
      </c>
      <c r="D21" s="21" t="s">
        <v>472</v>
      </c>
      <c r="E21" s="34">
        <v>5000</v>
      </c>
      <c r="F21" s="35">
        <v>1</v>
      </c>
      <c r="G21" s="34">
        <f t="shared" si="8"/>
        <v>5000</v>
      </c>
      <c r="I21" s="251"/>
      <c r="J21" s="34">
        <f t="shared" si="0"/>
        <v>0</v>
      </c>
      <c r="K21" s="36" t="str">
        <f t="shared" si="12"/>
        <v/>
      </c>
      <c r="L21" s="252" t="str">
        <f t="shared" si="4"/>
        <v/>
      </c>
      <c r="M21" s="261"/>
      <c r="N21" s="261"/>
      <c r="P21" s="109"/>
      <c r="Q21" s="110"/>
      <c r="R21" s="111"/>
      <c r="S21" s="112"/>
      <c r="T21" s="113"/>
      <c r="U21" s="114"/>
      <c r="V21" s="115">
        <f t="shared" si="10"/>
        <v>0</v>
      </c>
      <c r="W21" s="116">
        <f t="shared" si="11"/>
        <v>0</v>
      </c>
      <c r="X21" s="111"/>
      <c r="Y21" s="107"/>
      <c r="Z21" s="117"/>
    </row>
    <row r="22" spans="1:26" ht="30" x14ac:dyDescent="0.25">
      <c r="A22" s="40">
        <v>5.17</v>
      </c>
      <c r="B22" s="45"/>
      <c r="C22" s="27" t="str">
        <f>'חדרי שינה'!C9</f>
        <v>ארונית מגירות</v>
      </c>
      <c r="D22" s="21" t="s">
        <v>474</v>
      </c>
      <c r="E22" s="34">
        <v>1500</v>
      </c>
      <c r="F22" s="35">
        <v>1</v>
      </c>
      <c r="G22" s="34">
        <f t="shared" si="8"/>
        <v>1500</v>
      </c>
      <c r="I22" s="251"/>
      <c r="J22" s="34">
        <f t="shared" si="0"/>
        <v>0</v>
      </c>
      <c r="K22" s="36" t="str">
        <f t="shared" si="12"/>
        <v/>
      </c>
      <c r="L22" s="252" t="str">
        <f t="shared" si="4"/>
        <v/>
      </c>
      <c r="M22" s="261"/>
      <c r="N22" s="261"/>
      <c r="P22" s="109"/>
      <c r="Q22" s="110"/>
      <c r="R22" s="111"/>
      <c r="S22" s="112"/>
      <c r="T22" s="113"/>
      <c r="U22" s="114"/>
      <c r="V22" s="115">
        <f t="shared" si="10"/>
        <v>0</v>
      </c>
      <c r="W22" s="116">
        <f t="shared" si="11"/>
        <v>0</v>
      </c>
      <c r="X22" s="111"/>
      <c r="Y22" s="107"/>
      <c r="Z22" s="117"/>
    </row>
    <row r="23" spans="1:26" x14ac:dyDescent="0.25">
      <c r="A23" s="40">
        <v>5.1800000000000104</v>
      </c>
      <c r="B23" s="46"/>
      <c r="C23" s="21" t="s">
        <v>346</v>
      </c>
      <c r="D23" s="33"/>
      <c r="E23" s="34">
        <v>15000</v>
      </c>
      <c r="F23" s="35">
        <v>1</v>
      </c>
      <c r="G23" s="34">
        <f t="shared" si="8"/>
        <v>15000</v>
      </c>
      <c r="I23" s="251"/>
      <c r="J23" s="34">
        <f t="shared" si="0"/>
        <v>0</v>
      </c>
      <c r="K23" s="36" t="str">
        <f t="shared" si="12"/>
        <v/>
      </c>
      <c r="L23" s="252" t="str">
        <f t="shared" si="4"/>
        <v/>
      </c>
      <c r="M23" s="261"/>
      <c r="N23" s="261"/>
      <c r="P23" s="109"/>
      <c r="Q23" s="110"/>
      <c r="R23" s="111"/>
      <c r="S23" s="112"/>
      <c r="T23" s="113"/>
      <c r="U23" s="114"/>
      <c r="V23" s="115">
        <f t="shared" si="10"/>
        <v>0</v>
      </c>
      <c r="W23" s="116">
        <f t="shared" si="11"/>
        <v>0</v>
      </c>
      <c r="X23" s="111"/>
      <c r="Y23" s="107"/>
      <c r="Z23" s="117"/>
    </row>
    <row r="24" spans="1:26" s="48" customFormat="1" x14ac:dyDescent="0.25">
      <c r="A24" s="219" t="s">
        <v>347</v>
      </c>
      <c r="B24" s="44"/>
      <c r="C24" s="58"/>
      <c r="D24" s="44"/>
      <c r="E24" s="67"/>
      <c r="F24" s="69"/>
      <c r="G24" s="47">
        <f>SUM(G6:G23)</f>
        <v>128900</v>
      </c>
      <c r="I24" s="47"/>
      <c r="J24" s="47">
        <f>SUM(J6:J23)</f>
        <v>0</v>
      </c>
      <c r="K24" s="49" t="str">
        <f t="shared" ref="K24" si="13">IF(J24=0,"",IF(OR(J24-$G24&gt;0,J24-$G24&lt;0), (J24-$G24)/$G24, ""))</f>
        <v/>
      </c>
      <c r="L24" s="66" t="str">
        <f>A24</f>
        <v>סה"כ ציוד מ יוחד  כולל מע"מ</v>
      </c>
      <c r="M24" s="44"/>
      <c r="N24" s="50"/>
      <c r="P24" s="47">
        <f>SUM(P6:P23)</f>
        <v>0</v>
      </c>
      <c r="Q24" s="149"/>
      <c r="R24" s="150"/>
      <c r="S24" s="151"/>
      <c r="T24" s="152"/>
      <c r="U24" s="47">
        <f>SUM(U6:U23)</f>
        <v>0</v>
      </c>
      <c r="V24" s="115">
        <f t="shared" ref="V24" si="14">IF(U24="",0,U24-J24)</f>
        <v>0</v>
      </c>
      <c r="W24" s="116">
        <f t="shared" ref="W24" si="15">IF(U24=0,0,V24/J24)</f>
        <v>0</v>
      </c>
      <c r="X24" s="150"/>
      <c r="Y24" s="154"/>
      <c r="Z24" s="155"/>
    </row>
  </sheetData>
  <sheetProtection algorithmName="SHA-512" hashValue="0Da8zfqJXkcLbdd3Ew8vkE77SJ73YZpQbEnnaB/befddXSh8Z0rQyG1qljBNdJDeOCIuJTqCuZexOuvkx9zKPA==" saltValue="jE5Z5fokJVdBsaKOMOLz8A==" spinCount="100000" sheet="1" formatCells="0" formatColumns="0" formatRows="0"/>
  <dataConsolidate/>
  <conditionalFormatting sqref="K6:K24">
    <cfRule type="cellIs" dxfId="11" priority="4" operator="greaterThan">
      <formula>0</formula>
    </cfRule>
  </conditionalFormatting>
  <conditionalFormatting sqref="L6:L23">
    <cfRule type="cellIs" dxfId="10" priority="1" operator="equal">
      <formula>"יש להסביר חריגה"</formula>
    </cfRule>
    <cfRule type="cellIs" dxfId="9" priority="2" operator="equal">
      <formula>"נא להסביר חריגה"</formula>
    </cfRule>
    <cfRule type="containsText" dxfId="8" priority="3" operator="containsText" text="נא להסביר חריגה כאן">
      <formula>NOT(ISERROR(SEARCH("נא להסביר חריגה כאן",L6)))</formula>
    </cfRule>
  </conditionalFormatting>
  <conditionalFormatting sqref="P6:P23">
    <cfRule type="containsText" dxfId="7" priority="6" operator="containsText" text="נא להסביר חריגה כאן">
      <formula>NOT(ISERROR(SEARCH("נא להסביר חריגה כאן",P6)))</formula>
    </cfRule>
  </conditionalFormatting>
  <conditionalFormatting sqref="V6:W24">
    <cfRule type="cellIs" dxfId="6" priority="5" operator="greaterThan">
      <formula>0</formula>
    </cfRule>
  </conditionalFormatting>
  <dataValidations count="1">
    <dataValidation type="list" allowBlank="1" showInputMessage="1" showErrorMessage="1" sqref="M6:M23">
      <formula1>"מאושר, לא מאושר"</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0"/>
  <sheetViews>
    <sheetView rightToLeft="1" zoomScale="80" zoomScaleNormal="80" workbookViewId="0">
      <pane xSplit="8" ySplit="3" topLeftCell="I4" activePane="bottomRight" state="frozen"/>
      <selection pane="topRight" activeCell="I1" sqref="I1"/>
      <selection pane="bottomLeft" activeCell="A4" sqref="A4"/>
      <selection pane="bottomRight"/>
    </sheetView>
  </sheetViews>
  <sheetFormatPr defaultColWidth="9" defaultRowHeight="15" outlineLevelCol="1" x14ac:dyDescent="0.25"/>
  <cols>
    <col min="1" max="1" width="5.875" style="24" customWidth="1"/>
    <col min="2" max="2" width="14" style="24" customWidth="1"/>
    <col min="3" max="3" width="13.875" style="24" customWidth="1"/>
    <col min="4" max="4" width="11.375" style="24" customWidth="1"/>
    <col min="5" max="5" width="9" style="24"/>
    <col min="6" max="6" width="9" style="24" customWidth="1"/>
    <col min="7" max="7" width="10.25" style="24" customWidth="1"/>
    <col min="8" max="8" width="15.375" style="24" customWidth="1"/>
    <col min="9" max="9" width="1.375" style="24" customWidth="1"/>
    <col min="10" max="10" width="10.125" style="24" customWidth="1"/>
    <col min="11" max="11" width="11.25" style="84" customWidth="1"/>
    <col min="12" max="12" width="10.375" style="203" customWidth="1"/>
    <col min="13" max="13" width="26.25" style="24" customWidth="1"/>
    <col min="14" max="14" width="2" style="24" customWidth="1"/>
    <col min="15" max="15" width="9.75" style="24" hidden="1" customWidth="1" outlineLevel="1"/>
    <col min="16" max="19" width="0" style="24" hidden="1" customWidth="1" outlineLevel="1"/>
    <col min="20" max="20" width="9.75" style="24" hidden="1" customWidth="1" outlineLevel="1"/>
    <col min="21" max="21" width="11.625" style="24" hidden="1" customWidth="1" outlineLevel="1"/>
    <col min="22" max="22" width="11.25" style="24" hidden="1" customWidth="1" outlineLevel="1"/>
    <col min="23" max="25" width="0" style="24" hidden="1" customWidth="1" outlineLevel="1"/>
    <col min="26" max="26" width="9" style="24" collapsed="1"/>
    <col min="27" max="16384" width="9" style="24"/>
  </cols>
  <sheetData>
    <row r="1" spans="1:25" ht="18.75" x14ac:dyDescent="0.3">
      <c r="A1" s="9" t="str">
        <f>'תוכן עניינים'!$B$7</f>
        <v>תקן ריהוט וציוד לדיור  קהילתי - גירסה: 07/09/26</v>
      </c>
      <c r="E1" s="299" t="str">
        <f>'שאלון למילוי הגוף-חובה'!$C$10&amp;" : "&amp;'שאלון למילוי הגוף-חובה'!$D$10</f>
        <v xml:space="preserve">שם הגוף המבקש : </v>
      </c>
      <c r="J1" s="19" t="s">
        <v>304</v>
      </c>
    </row>
    <row r="2" spans="1:25" ht="18.75" x14ac:dyDescent="0.3">
      <c r="A2" s="24">
        <v>6</v>
      </c>
      <c r="B2" s="9" t="s">
        <v>348</v>
      </c>
      <c r="E2" s="299" t="str">
        <f>'שאלון למילוי הגוף-חובה'!$C$18&amp;" : "&amp;'שאלון למילוי הגוף-חובה'!$D$18</f>
        <v xml:space="preserve">שם המסגרת : </v>
      </c>
      <c r="J2" s="26"/>
      <c r="K2" s="51" t="s">
        <v>414</v>
      </c>
      <c r="L2" s="51"/>
      <c r="M2" s="52"/>
      <c r="O2" s="57" t="s">
        <v>393</v>
      </c>
      <c r="P2" s="27"/>
      <c r="Q2" s="27" t="s">
        <v>394</v>
      </c>
      <c r="R2" s="27"/>
      <c r="S2" s="27"/>
      <c r="T2" s="27"/>
      <c r="U2" s="27"/>
      <c r="V2" s="27"/>
      <c r="W2" s="27"/>
      <c r="X2" s="27"/>
      <c r="Y2" s="28"/>
    </row>
    <row r="3" spans="1:25" ht="90" x14ac:dyDescent="0.25">
      <c r="A3" s="22" t="s">
        <v>147</v>
      </c>
      <c r="B3" s="21" t="s">
        <v>349</v>
      </c>
      <c r="C3" s="21" t="s">
        <v>350</v>
      </c>
      <c r="D3" s="21" t="s">
        <v>351</v>
      </c>
      <c r="E3" s="21" t="s">
        <v>153</v>
      </c>
      <c r="F3" s="21" t="s">
        <v>352</v>
      </c>
      <c r="G3" s="21" t="s">
        <v>353</v>
      </c>
      <c r="H3" s="21" t="s">
        <v>156</v>
      </c>
      <c r="J3" s="21" t="s">
        <v>354</v>
      </c>
      <c r="K3" s="21" t="s">
        <v>355</v>
      </c>
      <c r="L3" s="206" t="s">
        <v>356</v>
      </c>
      <c r="M3" s="21" t="s">
        <v>158</v>
      </c>
      <c r="O3" s="103" t="s">
        <v>395</v>
      </c>
      <c r="P3" s="104" t="s">
        <v>396</v>
      </c>
      <c r="Q3" s="105" t="s">
        <v>397</v>
      </c>
      <c r="R3" s="105" t="s">
        <v>398</v>
      </c>
      <c r="S3" s="105" t="s">
        <v>399</v>
      </c>
      <c r="T3" s="106" t="s">
        <v>400</v>
      </c>
      <c r="U3" s="106" t="s">
        <v>401</v>
      </c>
      <c r="V3" s="105" t="s">
        <v>402</v>
      </c>
      <c r="W3" s="105" t="s">
        <v>403</v>
      </c>
      <c r="X3" s="107" t="s">
        <v>404</v>
      </c>
      <c r="Y3" s="108" t="s">
        <v>405</v>
      </c>
    </row>
    <row r="4" spans="1:25" x14ac:dyDescent="0.25">
      <c r="A4" s="211">
        <v>6.1</v>
      </c>
      <c r="B4" s="112"/>
      <c r="C4" s="112"/>
      <c r="D4" s="112"/>
      <c r="E4" s="109"/>
      <c r="F4" s="109"/>
      <c r="G4" s="207">
        <f>E4*F4</f>
        <v>0</v>
      </c>
      <c r="H4" s="112"/>
      <c r="J4" s="258"/>
      <c r="K4" s="259" t="str">
        <f t="shared" ref="K4:K28" si="0">IF(ISBLANK(J4),"",IF(J4="מאשר",E4,""))</f>
        <v/>
      </c>
      <c r="L4" s="208" t="str">
        <f t="shared" ref="L4:L28" si="1">IFERROR(IF(J4="","",(MIN($F4:$F4))*K4),"")</f>
        <v/>
      </c>
      <c r="M4" s="261"/>
      <c r="O4" s="109"/>
      <c r="P4" s="110"/>
      <c r="Q4" s="111"/>
      <c r="R4" s="112"/>
      <c r="S4" s="113"/>
      <c r="T4" s="114"/>
      <c r="U4" s="115">
        <f>IF(T4="",0,T4-I4)</f>
        <v>0</v>
      </c>
      <c r="V4" s="116">
        <f>IF(T4=0,0,U4/L4)</f>
        <v>0</v>
      </c>
      <c r="W4" s="111"/>
      <c r="X4" s="107"/>
      <c r="Y4" s="117"/>
    </row>
    <row r="5" spans="1:25" x14ac:dyDescent="0.25">
      <c r="A5" s="211">
        <v>6.2</v>
      </c>
      <c r="B5" s="112"/>
      <c r="C5" s="112"/>
      <c r="D5" s="112"/>
      <c r="E5" s="109"/>
      <c r="F5" s="109"/>
      <c r="G5" s="207">
        <f t="shared" ref="G5:G28" si="2">E5*F5</f>
        <v>0</v>
      </c>
      <c r="H5" s="112"/>
      <c r="J5" s="258"/>
      <c r="K5" s="259" t="str">
        <f t="shared" si="0"/>
        <v/>
      </c>
      <c r="L5" s="208" t="str">
        <f t="shared" si="1"/>
        <v/>
      </c>
      <c r="M5" s="261"/>
      <c r="O5" s="109"/>
      <c r="P5" s="110"/>
      <c r="Q5" s="111"/>
      <c r="R5" s="112"/>
      <c r="S5" s="113"/>
      <c r="T5" s="114"/>
      <c r="U5" s="115">
        <f t="shared" ref="U5:U12" si="3">IF(T5="",0,T5-I5)</f>
        <v>0</v>
      </c>
      <c r="V5" s="116">
        <f t="shared" ref="V5:V29" si="4">IF(T5=0,0,U5/L5)</f>
        <v>0</v>
      </c>
      <c r="W5" s="111"/>
      <c r="X5" s="107"/>
      <c r="Y5" s="117"/>
    </row>
    <row r="6" spans="1:25" x14ac:dyDescent="0.25">
      <c r="A6" s="211">
        <v>6.3</v>
      </c>
      <c r="B6" s="112"/>
      <c r="C6" s="112"/>
      <c r="D6" s="112"/>
      <c r="E6" s="109"/>
      <c r="F6" s="109"/>
      <c r="G6" s="207">
        <f t="shared" si="2"/>
        <v>0</v>
      </c>
      <c r="H6" s="112"/>
      <c r="J6" s="258"/>
      <c r="K6" s="259" t="str">
        <f t="shared" si="0"/>
        <v/>
      </c>
      <c r="L6" s="208" t="str">
        <f t="shared" si="1"/>
        <v/>
      </c>
      <c r="M6" s="261"/>
      <c r="O6" s="109"/>
      <c r="P6" s="110"/>
      <c r="Q6" s="111"/>
      <c r="R6" s="112"/>
      <c r="S6" s="113"/>
      <c r="T6" s="114"/>
      <c r="U6" s="115">
        <f t="shared" si="3"/>
        <v>0</v>
      </c>
      <c r="V6" s="116">
        <f t="shared" si="4"/>
        <v>0</v>
      </c>
      <c r="W6" s="111"/>
      <c r="X6" s="107"/>
      <c r="Y6" s="117"/>
    </row>
    <row r="7" spans="1:25" x14ac:dyDescent="0.25">
      <c r="A7" s="211">
        <v>6.4</v>
      </c>
      <c r="B7" s="112"/>
      <c r="C7" s="112"/>
      <c r="D7" s="112"/>
      <c r="E7" s="109"/>
      <c r="F7" s="109"/>
      <c r="G7" s="207">
        <f t="shared" si="2"/>
        <v>0</v>
      </c>
      <c r="H7" s="112"/>
      <c r="J7" s="258"/>
      <c r="K7" s="259" t="str">
        <f t="shared" si="0"/>
        <v/>
      </c>
      <c r="L7" s="208" t="str">
        <f t="shared" si="1"/>
        <v/>
      </c>
      <c r="M7" s="261"/>
      <c r="O7" s="109"/>
      <c r="P7" s="110"/>
      <c r="Q7" s="111"/>
      <c r="R7" s="112"/>
      <c r="S7" s="113"/>
      <c r="T7" s="114"/>
      <c r="U7" s="115">
        <f t="shared" si="3"/>
        <v>0</v>
      </c>
      <c r="V7" s="116">
        <f t="shared" si="4"/>
        <v>0</v>
      </c>
      <c r="W7" s="111"/>
      <c r="X7" s="107"/>
      <c r="Y7" s="117"/>
    </row>
    <row r="8" spans="1:25" x14ac:dyDescent="0.25">
      <c r="A8" s="211">
        <v>6.5</v>
      </c>
      <c r="B8" s="112"/>
      <c r="C8" s="112"/>
      <c r="D8" s="112"/>
      <c r="E8" s="109"/>
      <c r="F8" s="109"/>
      <c r="G8" s="207">
        <f t="shared" si="2"/>
        <v>0</v>
      </c>
      <c r="H8" s="112"/>
      <c r="J8" s="258"/>
      <c r="K8" s="259" t="str">
        <f t="shared" si="0"/>
        <v/>
      </c>
      <c r="L8" s="208" t="str">
        <f t="shared" si="1"/>
        <v/>
      </c>
      <c r="M8" s="261"/>
      <c r="O8" s="109"/>
      <c r="P8" s="110"/>
      <c r="Q8" s="111"/>
      <c r="R8" s="112"/>
      <c r="S8" s="113"/>
      <c r="T8" s="114"/>
      <c r="U8" s="115">
        <f t="shared" si="3"/>
        <v>0</v>
      </c>
      <c r="V8" s="116">
        <f t="shared" si="4"/>
        <v>0</v>
      </c>
      <c r="W8" s="111"/>
      <c r="X8" s="107"/>
      <c r="Y8" s="117"/>
    </row>
    <row r="9" spans="1:25" x14ac:dyDescent="0.25">
      <c r="A9" s="211">
        <v>6.6</v>
      </c>
      <c r="B9" s="112"/>
      <c r="C9" s="112"/>
      <c r="D9" s="112"/>
      <c r="E9" s="109"/>
      <c r="F9" s="109"/>
      <c r="G9" s="207">
        <f t="shared" si="2"/>
        <v>0</v>
      </c>
      <c r="H9" s="112"/>
      <c r="J9" s="258"/>
      <c r="K9" s="259" t="str">
        <f t="shared" si="0"/>
        <v/>
      </c>
      <c r="L9" s="208" t="str">
        <f t="shared" si="1"/>
        <v/>
      </c>
      <c r="M9" s="261"/>
      <c r="O9" s="109"/>
      <c r="P9" s="110"/>
      <c r="Q9" s="111"/>
      <c r="R9" s="112"/>
      <c r="S9" s="113"/>
      <c r="T9" s="114"/>
      <c r="U9" s="115">
        <f t="shared" si="3"/>
        <v>0</v>
      </c>
      <c r="V9" s="116">
        <f t="shared" si="4"/>
        <v>0</v>
      </c>
      <c r="W9" s="111"/>
      <c r="X9" s="107"/>
      <c r="Y9" s="117"/>
    </row>
    <row r="10" spans="1:25" x14ac:dyDescent="0.25">
      <c r="A10" s="211">
        <v>6.7</v>
      </c>
      <c r="B10" s="112"/>
      <c r="C10" s="112"/>
      <c r="D10" s="112"/>
      <c r="E10" s="109"/>
      <c r="F10" s="109"/>
      <c r="G10" s="207">
        <f t="shared" si="2"/>
        <v>0</v>
      </c>
      <c r="H10" s="112"/>
      <c r="J10" s="258"/>
      <c r="K10" s="259" t="str">
        <f t="shared" si="0"/>
        <v/>
      </c>
      <c r="L10" s="208" t="str">
        <f t="shared" si="1"/>
        <v/>
      </c>
      <c r="M10" s="261"/>
      <c r="O10" s="109"/>
      <c r="P10" s="110"/>
      <c r="Q10" s="111"/>
      <c r="R10" s="112"/>
      <c r="S10" s="113"/>
      <c r="T10" s="114"/>
      <c r="U10" s="115">
        <f t="shared" si="3"/>
        <v>0</v>
      </c>
      <c r="V10" s="116">
        <f t="shared" si="4"/>
        <v>0</v>
      </c>
      <c r="W10" s="111"/>
      <c r="X10" s="107"/>
      <c r="Y10" s="117"/>
    </row>
    <row r="11" spans="1:25" x14ac:dyDescent="0.25">
      <c r="A11" s="211">
        <v>6.8</v>
      </c>
      <c r="B11" s="112"/>
      <c r="C11" s="112"/>
      <c r="D11" s="112"/>
      <c r="E11" s="109"/>
      <c r="F11" s="109"/>
      <c r="G11" s="207">
        <f t="shared" si="2"/>
        <v>0</v>
      </c>
      <c r="H11" s="112"/>
      <c r="J11" s="258"/>
      <c r="K11" s="259" t="str">
        <f t="shared" si="0"/>
        <v/>
      </c>
      <c r="L11" s="208" t="str">
        <f t="shared" si="1"/>
        <v/>
      </c>
      <c r="M11" s="261"/>
      <c r="O11" s="109"/>
      <c r="P11" s="110"/>
      <c r="Q11" s="111"/>
      <c r="R11" s="112"/>
      <c r="S11" s="113"/>
      <c r="T11" s="114"/>
      <c r="U11" s="115">
        <f t="shared" si="3"/>
        <v>0</v>
      </c>
      <c r="V11" s="116">
        <f t="shared" si="4"/>
        <v>0</v>
      </c>
      <c r="W11" s="111"/>
      <c r="X11" s="107"/>
      <c r="Y11" s="117"/>
    </row>
    <row r="12" spans="1:25" x14ac:dyDescent="0.25">
      <c r="A12" s="211">
        <v>6.9</v>
      </c>
      <c r="B12" s="112"/>
      <c r="C12" s="112"/>
      <c r="D12" s="112"/>
      <c r="E12" s="109"/>
      <c r="F12" s="109"/>
      <c r="G12" s="207">
        <f t="shared" si="2"/>
        <v>0</v>
      </c>
      <c r="H12" s="112"/>
      <c r="J12" s="258"/>
      <c r="K12" s="259" t="str">
        <f t="shared" si="0"/>
        <v/>
      </c>
      <c r="L12" s="208" t="str">
        <f t="shared" si="1"/>
        <v/>
      </c>
      <c r="M12" s="261"/>
      <c r="O12" s="109"/>
      <c r="P12" s="110"/>
      <c r="Q12" s="111"/>
      <c r="R12" s="112"/>
      <c r="S12" s="113"/>
      <c r="T12" s="114"/>
      <c r="U12" s="115">
        <f t="shared" si="3"/>
        <v>0</v>
      </c>
      <c r="V12" s="116">
        <f t="shared" si="4"/>
        <v>0</v>
      </c>
      <c r="W12" s="111"/>
      <c r="X12" s="107"/>
      <c r="Y12" s="117"/>
    </row>
    <row r="13" spans="1:25" x14ac:dyDescent="0.25">
      <c r="A13" s="209">
        <v>6.1</v>
      </c>
      <c r="B13" s="112"/>
      <c r="C13" s="112"/>
      <c r="D13" s="112"/>
      <c r="E13" s="109"/>
      <c r="F13" s="109"/>
      <c r="G13" s="207">
        <f t="shared" si="2"/>
        <v>0</v>
      </c>
      <c r="H13" s="112"/>
      <c r="J13" s="258"/>
      <c r="K13" s="259" t="str">
        <f t="shared" si="0"/>
        <v/>
      </c>
      <c r="L13" s="208" t="str">
        <f t="shared" si="1"/>
        <v/>
      </c>
      <c r="M13" s="261"/>
      <c r="O13" s="109"/>
      <c r="P13" s="110"/>
      <c r="Q13" s="111"/>
      <c r="R13" s="112"/>
      <c r="S13" s="113"/>
      <c r="T13" s="114"/>
      <c r="U13" s="115">
        <f t="shared" ref="U13:U29" si="5">IF(T13="",0,T13-I13)</f>
        <v>0</v>
      </c>
      <c r="V13" s="116">
        <f t="shared" si="4"/>
        <v>0</v>
      </c>
      <c r="W13" s="111"/>
      <c r="X13" s="107"/>
      <c r="Y13" s="117"/>
    </row>
    <row r="14" spans="1:25" x14ac:dyDescent="0.25">
      <c r="A14" s="209">
        <v>6.11</v>
      </c>
      <c r="B14" s="112"/>
      <c r="C14" s="112"/>
      <c r="D14" s="112"/>
      <c r="E14" s="109"/>
      <c r="F14" s="109"/>
      <c r="G14" s="207">
        <f t="shared" si="2"/>
        <v>0</v>
      </c>
      <c r="H14" s="112"/>
      <c r="J14" s="258"/>
      <c r="K14" s="259" t="str">
        <f t="shared" si="0"/>
        <v/>
      </c>
      <c r="L14" s="208" t="str">
        <f t="shared" si="1"/>
        <v/>
      </c>
      <c r="M14" s="261"/>
      <c r="O14" s="109"/>
      <c r="P14" s="110"/>
      <c r="Q14" s="111"/>
      <c r="R14" s="112"/>
      <c r="S14" s="113"/>
      <c r="T14" s="114"/>
      <c r="U14" s="115">
        <f t="shared" si="5"/>
        <v>0</v>
      </c>
      <c r="V14" s="116">
        <f t="shared" si="4"/>
        <v>0</v>
      </c>
      <c r="W14" s="111"/>
      <c r="X14" s="107"/>
      <c r="Y14" s="117"/>
    </row>
    <row r="15" spans="1:25" x14ac:dyDescent="0.25">
      <c r="A15" s="209">
        <v>6.12</v>
      </c>
      <c r="B15" s="112"/>
      <c r="C15" s="112"/>
      <c r="D15" s="112"/>
      <c r="E15" s="109"/>
      <c r="F15" s="109"/>
      <c r="G15" s="207">
        <f t="shared" si="2"/>
        <v>0</v>
      </c>
      <c r="H15" s="112"/>
      <c r="J15" s="258"/>
      <c r="K15" s="259" t="str">
        <f t="shared" si="0"/>
        <v/>
      </c>
      <c r="L15" s="208" t="str">
        <f t="shared" si="1"/>
        <v/>
      </c>
      <c r="M15" s="261"/>
      <c r="O15" s="109"/>
      <c r="P15" s="110"/>
      <c r="Q15" s="111"/>
      <c r="R15" s="112"/>
      <c r="S15" s="113"/>
      <c r="T15" s="114"/>
      <c r="U15" s="115">
        <f t="shared" si="5"/>
        <v>0</v>
      </c>
      <c r="V15" s="116">
        <f t="shared" si="4"/>
        <v>0</v>
      </c>
      <c r="W15" s="111"/>
      <c r="X15" s="107"/>
      <c r="Y15" s="117"/>
    </row>
    <row r="16" spans="1:25" x14ac:dyDescent="0.25">
      <c r="A16" s="209">
        <v>6.13</v>
      </c>
      <c r="B16" s="112"/>
      <c r="C16" s="112"/>
      <c r="D16" s="112"/>
      <c r="E16" s="109"/>
      <c r="F16" s="109"/>
      <c r="G16" s="207">
        <f t="shared" si="2"/>
        <v>0</v>
      </c>
      <c r="H16" s="112"/>
      <c r="J16" s="258"/>
      <c r="K16" s="259" t="str">
        <f t="shared" si="0"/>
        <v/>
      </c>
      <c r="L16" s="208" t="str">
        <f t="shared" si="1"/>
        <v/>
      </c>
      <c r="M16" s="261"/>
      <c r="O16" s="109"/>
      <c r="P16" s="110"/>
      <c r="Q16" s="111"/>
      <c r="R16" s="112"/>
      <c r="S16" s="113"/>
      <c r="T16" s="114"/>
      <c r="U16" s="115">
        <f t="shared" si="5"/>
        <v>0</v>
      </c>
      <c r="V16" s="116">
        <f t="shared" si="4"/>
        <v>0</v>
      </c>
      <c r="W16" s="111"/>
      <c r="X16" s="107"/>
      <c r="Y16" s="117"/>
    </row>
    <row r="17" spans="1:25" x14ac:dyDescent="0.25">
      <c r="A17" s="209">
        <v>6.14</v>
      </c>
      <c r="B17" s="112"/>
      <c r="C17" s="112"/>
      <c r="D17" s="112"/>
      <c r="E17" s="109"/>
      <c r="F17" s="109"/>
      <c r="G17" s="207">
        <f t="shared" si="2"/>
        <v>0</v>
      </c>
      <c r="H17" s="112"/>
      <c r="J17" s="258"/>
      <c r="K17" s="259" t="str">
        <f t="shared" si="0"/>
        <v/>
      </c>
      <c r="L17" s="208" t="str">
        <f t="shared" si="1"/>
        <v/>
      </c>
      <c r="M17" s="261"/>
      <c r="O17" s="109"/>
      <c r="P17" s="110"/>
      <c r="Q17" s="111"/>
      <c r="R17" s="112"/>
      <c r="S17" s="113"/>
      <c r="T17" s="114"/>
      <c r="U17" s="115">
        <f t="shared" si="5"/>
        <v>0</v>
      </c>
      <c r="V17" s="116">
        <f t="shared" si="4"/>
        <v>0</v>
      </c>
      <c r="W17" s="111"/>
      <c r="X17" s="107"/>
      <c r="Y17" s="117"/>
    </row>
    <row r="18" spans="1:25" x14ac:dyDescent="0.25">
      <c r="A18" s="209">
        <v>6.15</v>
      </c>
      <c r="B18" s="112"/>
      <c r="C18" s="112"/>
      <c r="D18" s="112"/>
      <c r="E18" s="109"/>
      <c r="F18" s="109"/>
      <c r="G18" s="207">
        <f t="shared" si="2"/>
        <v>0</v>
      </c>
      <c r="H18" s="112"/>
      <c r="J18" s="258"/>
      <c r="K18" s="259" t="str">
        <f t="shared" si="0"/>
        <v/>
      </c>
      <c r="L18" s="208" t="str">
        <f t="shared" si="1"/>
        <v/>
      </c>
      <c r="M18" s="261"/>
      <c r="O18" s="109"/>
      <c r="P18" s="110"/>
      <c r="Q18" s="111"/>
      <c r="R18" s="112"/>
      <c r="S18" s="113"/>
      <c r="T18" s="114"/>
      <c r="U18" s="115">
        <f t="shared" si="5"/>
        <v>0</v>
      </c>
      <c r="V18" s="116">
        <f t="shared" si="4"/>
        <v>0</v>
      </c>
      <c r="W18" s="111"/>
      <c r="X18" s="107"/>
      <c r="Y18" s="117"/>
    </row>
    <row r="19" spans="1:25" x14ac:dyDescent="0.25">
      <c r="A19" s="209">
        <v>6.16</v>
      </c>
      <c r="B19" s="112"/>
      <c r="C19" s="112"/>
      <c r="D19" s="112"/>
      <c r="E19" s="109"/>
      <c r="F19" s="109"/>
      <c r="G19" s="207">
        <f t="shared" si="2"/>
        <v>0</v>
      </c>
      <c r="H19" s="112"/>
      <c r="J19" s="258"/>
      <c r="K19" s="259" t="str">
        <f t="shared" si="0"/>
        <v/>
      </c>
      <c r="L19" s="208" t="str">
        <f t="shared" si="1"/>
        <v/>
      </c>
      <c r="M19" s="261"/>
      <c r="O19" s="109"/>
      <c r="P19" s="110"/>
      <c r="Q19" s="111"/>
      <c r="R19" s="112"/>
      <c r="S19" s="113"/>
      <c r="T19" s="114"/>
      <c r="U19" s="115">
        <f t="shared" si="5"/>
        <v>0</v>
      </c>
      <c r="V19" s="116">
        <f t="shared" si="4"/>
        <v>0</v>
      </c>
      <c r="W19" s="111"/>
      <c r="X19" s="107"/>
      <c r="Y19" s="117"/>
    </row>
    <row r="20" spans="1:25" x14ac:dyDescent="0.25">
      <c r="A20" s="209">
        <v>6.17</v>
      </c>
      <c r="B20" s="112"/>
      <c r="C20" s="112"/>
      <c r="D20" s="112"/>
      <c r="E20" s="109"/>
      <c r="F20" s="109"/>
      <c r="G20" s="207">
        <f t="shared" si="2"/>
        <v>0</v>
      </c>
      <c r="H20" s="112"/>
      <c r="J20" s="258"/>
      <c r="K20" s="259" t="str">
        <f t="shared" si="0"/>
        <v/>
      </c>
      <c r="L20" s="208" t="str">
        <f t="shared" si="1"/>
        <v/>
      </c>
      <c r="M20" s="261"/>
      <c r="O20" s="109"/>
      <c r="P20" s="110"/>
      <c r="Q20" s="111"/>
      <c r="R20" s="112"/>
      <c r="S20" s="113"/>
      <c r="T20" s="114"/>
      <c r="U20" s="115">
        <f t="shared" si="5"/>
        <v>0</v>
      </c>
      <c r="V20" s="116">
        <f t="shared" si="4"/>
        <v>0</v>
      </c>
      <c r="W20" s="111"/>
      <c r="X20" s="107"/>
      <c r="Y20" s="117"/>
    </row>
    <row r="21" spans="1:25" x14ac:dyDescent="0.25">
      <c r="A21" s="209">
        <v>6.1800000000000104</v>
      </c>
      <c r="B21" s="112"/>
      <c r="C21" s="112"/>
      <c r="D21" s="112"/>
      <c r="E21" s="109"/>
      <c r="F21" s="109"/>
      <c r="G21" s="207">
        <f t="shared" si="2"/>
        <v>0</v>
      </c>
      <c r="H21" s="112"/>
      <c r="J21" s="258"/>
      <c r="K21" s="259" t="str">
        <f t="shared" si="0"/>
        <v/>
      </c>
      <c r="L21" s="208" t="str">
        <f t="shared" si="1"/>
        <v/>
      </c>
      <c r="M21" s="261"/>
      <c r="O21" s="109"/>
      <c r="P21" s="110"/>
      <c r="Q21" s="111"/>
      <c r="R21" s="112"/>
      <c r="S21" s="113"/>
      <c r="T21" s="114"/>
      <c r="U21" s="115">
        <f t="shared" si="5"/>
        <v>0</v>
      </c>
      <c r="V21" s="116">
        <f t="shared" si="4"/>
        <v>0</v>
      </c>
      <c r="W21" s="111"/>
      <c r="X21" s="107"/>
      <c r="Y21" s="117"/>
    </row>
    <row r="22" spans="1:25" x14ac:dyDescent="0.25">
      <c r="A22" s="209">
        <v>6.1900000000000102</v>
      </c>
      <c r="B22" s="112"/>
      <c r="C22" s="112"/>
      <c r="D22" s="112"/>
      <c r="E22" s="109"/>
      <c r="F22" s="109"/>
      <c r="G22" s="207">
        <f t="shared" si="2"/>
        <v>0</v>
      </c>
      <c r="H22" s="112"/>
      <c r="J22" s="258"/>
      <c r="K22" s="259" t="str">
        <f t="shared" si="0"/>
        <v/>
      </c>
      <c r="L22" s="208" t="str">
        <f t="shared" si="1"/>
        <v/>
      </c>
      <c r="M22" s="261"/>
      <c r="O22" s="109"/>
      <c r="P22" s="110"/>
      <c r="Q22" s="111"/>
      <c r="R22" s="112"/>
      <c r="S22" s="113"/>
      <c r="T22" s="114"/>
      <c r="U22" s="115">
        <f t="shared" si="5"/>
        <v>0</v>
      </c>
      <c r="V22" s="116">
        <f t="shared" si="4"/>
        <v>0</v>
      </c>
      <c r="W22" s="111"/>
      <c r="X22" s="107"/>
      <c r="Y22" s="117"/>
    </row>
    <row r="23" spans="1:25" x14ac:dyDescent="0.25">
      <c r="A23" s="209">
        <v>6.2000000000000099</v>
      </c>
      <c r="B23" s="112"/>
      <c r="C23" s="112"/>
      <c r="D23" s="112"/>
      <c r="E23" s="109"/>
      <c r="F23" s="109"/>
      <c r="G23" s="207">
        <f t="shared" si="2"/>
        <v>0</v>
      </c>
      <c r="H23" s="112"/>
      <c r="J23" s="258"/>
      <c r="K23" s="259" t="str">
        <f t="shared" si="0"/>
        <v/>
      </c>
      <c r="L23" s="208" t="str">
        <f t="shared" si="1"/>
        <v/>
      </c>
      <c r="M23" s="261"/>
      <c r="O23" s="109"/>
      <c r="P23" s="110"/>
      <c r="Q23" s="111"/>
      <c r="R23" s="112"/>
      <c r="S23" s="113"/>
      <c r="T23" s="114"/>
      <c r="U23" s="115">
        <f t="shared" si="5"/>
        <v>0</v>
      </c>
      <c r="V23" s="116">
        <f t="shared" si="4"/>
        <v>0</v>
      </c>
      <c r="W23" s="111"/>
      <c r="X23" s="107"/>
      <c r="Y23" s="117"/>
    </row>
    <row r="24" spans="1:25" x14ac:dyDescent="0.25">
      <c r="A24" s="209">
        <v>6.2100000000000097</v>
      </c>
      <c r="B24" s="112"/>
      <c r="C24" s="112"/>
      <c r="D24" s="112"/>
      <c r="E24" s="109"/>
      <c r="F24" s="109"/>
      <c r="G24" s="207">
        <f t="shared" si="2"/>
        <v>0</v>
      </c>
      <c r="H24" s="112"/>
      <c r="J24" s="258"/>
      <c r="K24" s="259" t="str">
        <f t="shared" si="0"/>
        <v/>
      </c>
      <c r="L24" s="208" t="str">
        <f t="shared" si="1"/>
        <v/>
      </c>
      <c r="M24" s="261"/>
      <c r="O24" s="109"/>
      <c r="P24" s="110"/>
      <c r="Q24" s="111"/>
      <c r="R24" s="112"/>
      <c r="S24" s="113"/>
      <c r="T24" s="114"/>
      <c r="U24" s="115">
        <f t="shared" si="5"/>
        <v>0</v>
      </c>
      <c r="V24" s="116">
        <f t="shared" si="4"/>
        <v>0</v>
      </c>
      <c r="W24" s="111"/>
      <c r="X24" s="107"/>
      <c r="Y24" s="117"/>
    </row>
    <row r="25" spans="1:25" x14ac:dyDescent="0.25">
      <c r="A25" s="209">
        <v>6.2200000000000104</v>
      </c>
      <c r="B25" s="112"/>
      <c r="C25" s="112"/>
      <c r="D25" s="112"/>
      <c r="E25" s="109"/>
      <c r="F25" s="109"/>
      <c r="G25" s="207">
        <f t="shared" si="2"/>
        <v>0</v>
      </c>
      <c r="H25" s="112"/>
      <c r="J25" s="258"/>
      <c r="K25" s="259" t="str">
        <f t="shared" si="0"/>
        <v/>
      </c>
      <c r="L25" s="208" t="str">
        <f t="shared" si="1"/>
        <v/>
      </c>
      <c r="M25" s="261"/>
      <c r="O25" s="109"/>
      <c r="P25" s="110"/>
      <c r="Q25" s="111"/>
      <c r="R25" s="112"/>
      <c r="S25" s="113"/>
      <c r="T25" s="114"/>
      <c r="U25" s="115">
        <f t="shared" si="5"/>
        <v>0</v>
      </c>
      <c r="V25" s="116">
        <f t="shared" si="4"/>
        <v>0</v>
      </c>
      <c r="W25" s="111"/>
      <c r="X25" s="107"/>
      <c r="Y25" s="117"/>
    </row>
    <row r="26" spans="1:25" x14ac:dyDescent="0.25">
      <c r="A26" s="209">
        <v>6.2300000000000102</v>
      </c>
      <c r="B26" s="112"/>
      <c r="C26" s="112"/>
      <c r="D26" s="112"/>
      <c r="E26" s="109"/>
      <c r="F26" s="109"/>
      <c r="G26" s="207">
        <f t="shared" si="2"/>
        <v>0</v>
      </c>
      <c r="H26" s="112"/>
      <c r="J26" s="258"/>
      <c r="K26" s="259" t="str">
        <f t="shared" si="0"/>
        <v/>
      </c>
      <c r="L26" s="208" t="str">
        <f t="shared" si="1"/>
        <v/>
      </c>
      <c r="M26" s="261"/>
      <c r="O26" s="109"/>
      <c r="P26" s="110"/>
      <c r="Q26" s="111"/>
      <c r="R26" s="112"/>
      <c r="S26" s="113"/>
      <c r="T26" s="114"/>
      <c r="U26" s="115">
        <f t="shared" si="5"/>
        <v>0</v>
      </c>
      <c r="V26" s="116">
        <f t="shared" si="4"/>
        <v>0</v>
      </c>
      <c r="W26" s="111"/>
      <c r="X26" s="107"/>
      <c r="Y26" s="117"/>
    </row>
    <row r="27" spans="1:25" x14ac:dyDescent="0.25">
      <c r="A27" s="209">
        <v>6.24000000000001</v>
      </c>
      <c r="B27" s="112"/>
      <c r="C27" s="112"/>
      <c r="D27" s="112"/>
      <c r="E27" s="109"/>
      <c r="F27" s="109"/>
      <c r="G27" s="207">
        <f t="shared" si="2"/>
        <v>0</v>
      </c>
      <c r="H27" s="112"/>
      <c r="J27" s="258"/>
      <c r="K27" s="259" t="str">
        <f t="shared" si="0"/>
        <v/>
      </c>
      <c r="L27" s="208" t="str">
        <f t="shared" si="1"/>
        <v/>
      </c>
      <c r="M27" s="261"/>
      <c r="O27" s="109"/>
      <c r="P27" s="110"/>
      <c r="Q27" s="111"/>
      <c r="R27" s="112"/>
      <c r="S27" s="113"/>
      <c r="T27" s="114"/>
      <c r="U27" s="115">
        <f t="shared" si="5"/>
        <v>0</v>
      </c>
      <c r="V27" s="116">
        <f t="shared" si="4"/>
        <v>0</v>
      </c>
      <c r="W27" s="111"/>
      <c r="X27" s="107"/>
      <c r="Y27" s="117"/>
    </row>
    <row r="28" spans="1:25" x14ac:dyDescent="0.25">
      <c r="A28" s="209">
        <v>6.2500000000000098</v>
      </c>
      <c r="B28" s="112"/>
      <c r="C28" s="112"/>
      <c r="D28" s="112"/>
      <c r="E28" s="109"/>
      <c r="F28" s="109"/>
      <c r="G28" s="207">
        <f t="shared" si="2"/>
        <v>0</v>
      </c>
      <c r="H28" s="112"/>
      <c r="J28" s="258"/>
      <c r="K28" s="259" t="str">
        <f t="shared" si="0"/>
        <v/>
      </c>
      <c r="L28" s="208" t="str">
        <f t="shared" si="1"/>
        <v/>
      </c>
      <c r="M28" s="261"/>
      <c r="O28" s="109"/>
      <c r="P28" s="110"/>
      <c r="Q28" s="111"/>
      <c r="R28" s="112"/>
      <c r="S28" s="113"/>
      <c r="T28" s="114"/>
      <c r="U28" s="115">
        <f t="shared" si="5"/>
        <v>0</v>
      </c>
      <c r="V28" s="116">
        <f t="shared" si="4"/>
        <v>0</v>
      </c>
      <c r="W28" s="111"/>
      <c r="X28" s="107"/>
      <c r="Y28" s="117"/>
    </row>
    <row r="29" spans="1:25" s="25" customFormat="1" x14ac:dyDescent="0.25">
      <c r="A29" s="66" t="s">
        <v>357</v>
      </c>
      <c r="B29" s="212"/>
      <c r="C29" s="213"/>
      <c r="D29" s="213"/>
      <c r="E29" s="213"/>
      <c r="F29" s="213"/>
      <c r="G29" s="214">
        <f>SUM(G4:G28)</f>
        <v>0</v>
      </c>
      <c r="H29" s="215"/>
      <c r="I29" s="216"/>
      <c r="J29" s="215"/>
      <c r="K29" s="217"/>
      <c r="L29" s="215">
        <f>SUM(L4:L28)</f>
        <v>0</v>
      </c>
      <c r="M29" s="215" t="str">
        <f>A29</f>
        <v>סה"כ ציוד מתקנים אחרים כולל מע"מ</v>
      </c>
      <c r="O29" s="215">
        <f>SUM(O4:O28)</f>
        <v>0</v>
      </c>
      <c r="P29" s="149"/>
      <c r="Q29" s="150"/>
      <c r="R29" s="151"/>
      <c r="S29" s="152"/>
      <c r="T29" s="215">
        <f>SUM(T4:T28)</f>
        <v>0</v>
      </c>
      <c r="U29" s="115">
        <f t="shared" si="5"/>
        <v>0</v>
      </c>
      <c r="V29" s="116">
        <f t="shared" si="4"/>
        <v>0</v>
      </c>
      <c r="W29" s="150"/>
      <c r="X29" s="154"/>
      <c r="Y29" s="155"/>
    </row>
    <row r="30" spans="1:25" x14ac:dyDescent="0.25">
      <c r="O30" s="23"/>
      <c r="P30" s="23"/>
      <c r="Q30" s="23"/>
      <c r="R30" s="23"/>
      <c r="S30" s="23"/>
      <c r="T30" s="23"/>
      <c r="U30" s="23"/>
      <c r="V30" s="23"/>
      <c r="W30" s="23"/>
      <c r="X30" s="23"/>
      <c r="Y30" s="23"/>
    </row>
  </sheetData>
  <sheetProtection algorithmName="SHA-512" hashValue="aPWx+fPrBRMXtUDkhI6q/RikVsB8v/9nKg8HSUXNxvnpo45MAFA/anAvf+xT+XEF5eyPlwAOxUMATrFWhzrvuQ==" saltValue="93j7PtBz3bUtwqoS1m9dIQ==" spinCount="100000" sheet="1" formatCells="0" formatColumns="0" formatRows="0"/>
  <conditionalFormatting sqref="E4:F28">
    <cfRule type="containsText" dxfId="5" priority="1" operator="containsText" text="נא להסביר חריגה כאן">
      <formula>NOT(ISERROR(SEARCH("נא להסביר חריגה כאן",E4)))</formula>
    </cfRule>
  </conditionalFormatting>
  <conditionalFormatting sqref="O4:O28">
    <cfRule type="containsText" dxfId="4" priority="4" operator="containsText" text="נא להסביר חריגה כאן">
      <formula>NOT(ISERROR(SEARCH("נא להסביר חריגה כאן",O4)))</formula>
    </cfRule>
  </conditionalFormatting>
  <conditionalFormatting sqref="U4:V29">
    <cfRule type="cellIs" dxfId="3" priority="2" operator="greaterThan">
      <formula>0</formula>
    </cfRule>
  </conditionalFormatting>
  <dataValidations count="1">
    <dataValidation type="list" allowBlank="1" showInputMessage="1" showErrorMessage="1" sqref="J4:J28">
      <formula1>"מאשר, מאשר חלקי, לא מאשר"</formula1>
    </dataValidation>
  </dataValidations>
  <pageMargins left="0.70866141732283472" right="0.70866141732283472" top="0.74803149606299213" bottom="0.74803149606299213" header="0.31496062992125984" footer="0.31496062992125984"/>
  <pageSetup paperSize="9" scale="90"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35"/>
  <sheetViews>
    <sheetView rightToLeft="1" tabSelected="1" zoomScale="80" zoomScaleNormal="80" workbookViewId="0">
      <pane xSplit="10" ySplit="3" topLeftCell="K4" activePane="bottomRight" state="frozen"/>
      <selection pane="topRight" activeCell="K1" sqref="K1"/>
      <selection pane="bottomLeft" activeCell="A4" sqref="A4"/>
      <selection pane="bottomRight"/>
    </sheetView>
  </sheetViews>
  <sheetFormatPr defaultColWidth="9" defaultRowHeight="15" outlineLevelCol="1" x14ac:dyDescent="0.25"/>
  <cols>
    <col min="1" max="1" width="4.875" style="24" customWidth="1"/>
    <col min="2" max="2" width="15.25" style="24" customWidth="1"/>
    <col min="3" max="3" width="12" style="24" customWidth="1"/>
    <col min="4" max="4" width="14.75" style="24" customWidth="1"/>
    <col min="5" max="5" width="9" style="24"/>
    <col min="6" max="6" width="12" style="24" customWidth="1"/>
    <col min="7" max="7" width="9.375" style="24" customWidth="1"/>
    <col min="8" max="8" width="10.125" style="24" customWidth="1"/>
    <col min="9" max="9" width="12.375" style="24" customWidth="1"/>
    <col min="10" max="10" width="11.875" style="24" customWidth="1"/>
    <col min="11" max="11" width="1.125" style="24" customWidth="1"/>
    <col min="12" max="12" width="8.875" style="24" customWidth="1"/>
    <col min="13" max="13" width="11.25" style="84" customWidth="1"/>
    <col min="14" max="14" width="9.25" style="84" customWidth="1"/>
    <col min="15" max="15" width="11.25" style="84" customWidth="1"/>
    <col min="16" max="16" width="10.375" style="203" customWidth="1"/>
    <col min="17" max="17" width="20.875" style="24" customWidth="1"/>
    <col min="18" max="18" width="1.25" style="24" customWidth="1"/>
    <col min="19" max="24" width="0" style="24" hidden="1" customWidth="1" outlineLevel="1"/>
    <col min="25" max="25" width="13.125" style="24" hidden="1" customWidth="1" outlineLevel="1"/>
    <col min="26" max="29" width="0" style="24" hidden="1" customWidth="1" outlineLevel="1"/>
    <col min="30" max="30" width="9" style="24" collapsed="1"/>
    <col min="31" max="16384" width="9" style="24"/>
  </cols>
  <sheetData>
    <row r="1" spans="1:29" x14ac:dyDescent="0.25">
      <c r="A1" s="9" t="str">
        <f>'תוכן עניינים'!$B$7</f>
        <v>תקן ריהוט וציוד לדיור  קהילתי - גירסה: 07/09/26</v>
      </c>
      <c r="L1" s="19" t="s">
        <v>304</v>
      </c>
    </row>
    <row r="2" spans="1:29" ht="30" x14ac:dyDescent="0.25">
      <c r="A2" s="9">
        <f>'תוכן עניינים'!B20</f>
        <v>7</v>
      </c>
      <c r="B2" s="305" t="str">
        <f>'תוכן עניינים'!C20</f>
        <v>ציוד נוסף שלא קיים בתקן</v>
      </c>
      <c r="C2" s="204" t="s">
        <v>358</v>
      </c>
      <c r="E2" s="301"/>
      <c r="L2" s="26"/>
      <c r="M2" s="51"/>
      <c r="N2" s="51" t="s">
        <v>414</v>
      </c>
      <c r="O2" s="51"/>
      <c r="P2" s="302"/>
      <c r="Q2" s="52"/>
      <c r="S2" s="57" t="s">
        <v>393</v>
      </c>
      <c r="T2" s="27"/>
      <c r="U2" s="27" t="s">
        <v>394</v>
      </c>
      <c r="V2" s="27"/>
      <c r="W2" s="27"/>
      <c r="X2" s="27"/>
      <c r="Y2" s="27"/>
      <c r="Z2" s="27"/>
      <c r="AA2" s="27"/>
      <c r="AB2" s="27"/>
      <c r="AC2" s="28"/>
    </row>
    <row r="3" spans="1:29" ht="90" x14ac:dyDescent="0.25">
      <c r="A3" s="20" t="s">
        <v>147</v>
      </c>
      <c r="B3" s="21" t="s">
        <v>359</v>
      </c>
      <c r="C3" s="21" t="s">
        <v>360</v>
      </c>
      <c r="D3" s="21" t="s">
        <v>361</v>
      </c>
      <c r="E3" s="21" t="s">
        <v>153</v>
      </c>
      <c r="F3" s="21" t="s">
        <v>362</v>
      </c>
      <c r="G3" s="21" t="s">
        <v>363</v>
      </c>
      <c r="H3" s="21" t="s">
        <v>364</v>
      </c>
      <c r="I3" s="21" t="s">
        <v>365</v>
      </c>
      <c r="J3" s="21" t="s">
        <v>156</v>
      </c>
      <c r="L3" s="21" t="s">
        <v>366</v>
      </c>
      <c r="M3" s="21" t="s">
        <v>355</v>
      </c>
      <c r="N3" s="205" t="s">
        <v>367</v>
      </c>
      <c r="O3" s="21" t="s">
        <v>368</v>
      </c>
      <c r="P3" s="206" t="s">
        <v>356</v>
      </c>
      <c r="Q3" s="21" t="s">
        <v>158</v>
      </c>
      <c r="S3" s="103" t="s">
        <v>395</v>
      </c>
      <c r="T3" s="104" t="s">
        <v>396</v>
      </c>
      <c r="U3" s="105" t="s">
        <v>397</v>
      </c>
      <c r="V3" s="105" t="s">
        <v>398</v>
      </c>
      <c r="W3" s="105" t="s">
        <v>399</v>
      </c>
      <c r="X3" s="106" t="s">
        <v>400</v>
      </c>
      <c r="Y3" s="106" t="s">
        <v>401</v>
      </c>
      <c r="Z3" s="105" t="s">
        <v>402</v>
      </c>
      <c r="AA3" s="105" t="s">
        <v>403</v>
      </c>
      <c r="AB3" s="107" t="s">
        <v>404</v>
      </c>
      <c r="AC3" s="108" t="s">
        <v>405</v>
      </c>
    </row>
    <row r="4" spans="1:29" x14ac:dyDescent="0.25">
      <c r="A4" s="170">
        <v>7.1</v>
      </c>
      <c r="B4" s="254"/>
      <c r="C4" s="113"/>
      <c r="D4" s="113"/>
      <c r="E4" s="113"/>
      <c r="F4" s="109"/>
      <c r="G4" s="109"/>
      <c r="H4" s="109"/>
      <c r="I4" s="207">
        <f t="shared" ref="I4:I28" si="0">(MIN($F4:$H4))*E4</f>
        <v>0</v>
      </c>
      <c r="J4" s="113"/>
      <c r="L4" s="258"/>
      <c r="M4" s="259" t="str">
        <f>IF(ISBLANK(L4),"",IF(L4="מאשר",E4,""))</f>
        <v/>
      </c>
      <c r="N4" s="260"/>
      <c r="O4" s="171">
        <f>IF(N4="הצעה א",F4,IF(N4="הצעה ב",G4,IF(N4="הצעה ג",H4,MIN(F4:H4))))</f>
        <v>0</v>
      </c>
      <c r="P4" s="208" t="str">
        <f>IFERROR(IF(L4="","",M4*O4),"")</f>
        <v/>
      </c>
      <c r="Q4" s="261"/>
      <c r="S4" s="109"/>
      <c r="T4" s="110"/>
      <c r="U4" s="111"/>
      <c r="V4" s="112"/>
      <c r="W4" s="113"/>
      <c r="X4" s="114"/>
      <c r="Y4" s="115">
        <f>IF(X4="",0,X4-P4)</f>
        <v>0</v>
      </c>
      <c r="Z4" s="116">
        <f>IF(X4=0,0,Y4/P4)</f>
        <v>0</v>
      </c>
      <c r="AA4" s="111"/>
      <c r="AB4" s="107"/>
      <c r="AC4" s="117"/>
    </row>
    <row r="5" spans="1:29" x14ac:dyDescent="0.25">
      <c r="A5" s="170">
        <v>7.2</v>
      </c>
      <c r="B5" s="255"/>
      <c r="C5" s="113"/>
      <c r="D5" s="113"/>
      <c r="E5" s="113"/>
      <c r="F5" s="109"/>
      <c r="G5" s="109"/>
      <c r="H5" s="109"/>
      <c r="I5" s="207">
        <f t="shared" si="0"/>
        <v>0</v>
      </c>
      <c r="J5" s="113"/>
      <c r="L5" s="258"/>
      <c r="M5" s="259" t="str">
        <f t="shared" ref="M5:M28" si="1">IF(ISBLANK(L5),"",IF(L5="מאשר",E5,""))</f>
        <v/>
      </c>
      <c r="N5" s="260"/>
      <c r="O5" s="171">
        <f t="shared" ref="O5:O28" si="2">IF(N5="הצעה א",F5,IF(N5="הצעה ב",G5,IF(N5="הצעה ג",H5,MIN(F5:H5))))</f>
        <v>0</v>
      </c>
      <c r="P5" s="208" t="str">
        <f t="shared" ref="P5:P28" si="3">IFERROR(IF(L5="","",M5*O5),"")</f>
        <v/>
      </c>
      <c r="Q5" s="261"/>
      <c r="S5" s="109"/>
      <c r="T5" s="110"/>
      <c r="U5" s="111"/>
      <c r="V5" s="112"/>
      <c r="W5" s="113"/>
      <c r="X5" s="114"/>
      <c r="Y5" s="115">
        <f t="shared" ref="Y5:Y29" si="4">IF(X5="",0,X5-P5)</f>
        <v>0</v>
      </c>
      <c r="Z5" s="116">
        <f t="shared" ref="Z5:Z17" si="5">IF(X5=0,0,Y5/P5)</f>
        <v>0</v>
      </c>
      <c r="AA5" s="111"/>
      <c r="AB5" s="107"/>
      <c r="AC5" s="117"/>
    </row>
    <row r="6" spans="1:29" x14ac:dyDescent="0.25">
      <c r="A6" s="170">
        <v>7.3</v>
      </c>
      <c r="B6" s="255"/>
      <c r="C6" s="113"/>
      <c r="D6" s="113"/>
      <c r="E6" s="113"/>
      <c r="F6" s="109"/>
      <c r="G6" s="109"/>
      <c r="H6" s="109"/>
      <c r="I6" s="207">
        <f t="shared" si="0"/>
        <v>0</v>
      </c>
      <c r="J6" s="113"/>
      <c r="L6" s="258"/>
      <c r="M6" s="259" t="str">
        <f t="shared" si="1"/>
        <v/>
      </c>
      <c r="N6" s="260"/>
      <c r="O6" s="171">
        <f t="shared" si="2"/>
        <v>0</v>
      </c>
      <c r="P6" s="208" t="str">
        <f t="shared" si="3"/>
        <v/>
      </c>
      <c r="Q6" s="261"/>
      <c r="S6" s="109"/>
      <c r="T6" s="110"/>
      <c r="U6" s="111"/>
      <c r="V6" s="112"/>
      <c r="W6" s="113"/>
      <c r="X6" s="114"/>
      <c r="Y6" s="115">
        <f t="shared" si="4"/>
        <v>0</v>
      </c>
      <c r="Z6" s="116">
        <f t="shared" si="5"/>
        <v>0</v>
      </c>
      <c r="AA6" s="111"/>
      <c r="AB6" s="107"/>
      <c r="AC6" s="117"/>
    </row>
    <row r="7" spans="1:29" x14ac:dyDescent="0.25">
      <c r="A7" s="170">
        <v>7.4</v>
      </c>
      <c r="B7" s="255"/>
      <c r="C7" s="113"/>
      <c r="D7" s="113"/>
      <c r="E7" s="113"/>
      <c r="F7" s="109"/>
      <c r="G7" s="109"/>
      <c r="H7" s="109"/>
      <c r="I7" s="207">
        <f t="shared" si="0"/>
        <v>0</v>
      </c>
      <c r="J7" s="113"/>
      <c r="L7" s="258"/>
      <c r="M7" s="259" t="str">
        <f t="shared" si="1"/>
        <v/>
      </c>
      <c r="N7" s="260"/>
      <c r="O7" s="171">
        <f>IF(N7="הצעה א",F7,IF(N7="הצעה ב",G7,IF(N7="הצעה ג",H7,MIN(F7:H7))))</f>
        <v>0</v>
      </c>
      <c r="P7" s="208" t="str">
        <f t="shared" si="3"/>
        <v/>
      </c>
      <c r="Q7" s="261"/>
      <c r="S7" s="109"/>
      <c r="T7" s="110"/>
      <c r="U7" s="111"/>
      <c r="V7" s="112"/>
      <c r="W7" s="113"/>
      <c r="X7" s="114"/>
      <c r="Y7" s="115">
        <f t="shared" si="4"/>
        <v>0</v>
      </c>
      <c r="Z7" s="116">
        <f t="shared" si="5"/>
        <v>0</v>
      </c>
      <c r="AA7" s="111"/>
      <c r="AB7" s="107"/>
      <c r="AC7" s="117"/>
    </row>
    <row r="8" spans="1:29" x14ac:dyDescent="0.25">
      <c r="A8" s="170">
        <v>7.5</v>
      </c>
      <c r="B8" s="256"/>
      <c r="C8" s="113"/>
      <c r="D8" s="113"/>
      <c r="E8" s="113"/>
      <c r="F8" s="109"/>
      <c r="G8" s="109"/>
      <c r="H8" s="109"/>
      <c r="I8" s="207">
        <f t="shared" si="0"/>
        <v>0</v>
      </c>
      <c r="J8" s="113"/>
      <c r="L8" s="258"/>
      <c r="M8" s="259" t="str">
        <f t="shared" si="1"/>
        <v/>
      </c>
      <c r="N8" s="260"/>
      <c r="O8" s="171">
        <f>IF(N8="הצעה א",F8,IF(N8="הצעה ב",G8,IF(N8="הצעה ג",H8,MIN(F8:H8))))</f>
        <v>0</v>
      </c>
      <c r="P8" s="208" t="str">
        <f t="shared" si="3"/>
        <v/>
      </c>
      <c r="Q8" s="261"/>
      <c r="S8" s="109"/>
      <c r="T8" s="110"/>
      <c r="U8" s="111"/>
      <c r="V8" s="112"/>
      <c r="W8" s="113"/>
      <c r="X8" s="114"/>
      <c r="Y8" s="115">
        <f t="shared" si="4"/>
        <v>0</v>
      </c>
      <c r="Z8" s="116">
        <f t="shared" si="5"/>
        <v>0</v>
      </c>
      <c r="AA8" s="111"/>
      <c r="AB8" s="107"/>
      <c r="AC8" s="117"/>
    </row>
    <row r="9" spans="1:29" x14ac:dyDescent="0.25">
      <c r="A9" s="170">
        <v>7.6</v>
      </c>
      <c r="B9" s="254"/>
      <c r="C9" s="113"/>
      <c r="D9" s="113"/>
      <c r="E9" s="113"/>
      <c r="F9" s="109"/>
      <c r="G9" s="109"/>
      <c r="H9" s="109"/>
      <c r="I9" s="207">
        <f t="shared" si="0"/>
        <v>0</v>
      </c>
      <c r="J9" s="113"/>
      <c r="L9" s="258"/>
      <c r="M9" s="259" t="str">
        <f t="shared" si="1"/>
        <v/>
      </c>
      <c r="N9" s="260"/>
      <c r="O9" s="171">
        <f t="shared" si="2"/>
        <v>0</v>
      </c>
      <c r="P9" s="208" t="str">
        <f t="shared" si="3"/>
        <v/>
      </c>
      <c r="Q9" s="261"/>
      <c r="S9" s="109"/>
      <c r="T9" s="110"/>
      <c r="U9" s="111"/>
      <c r="V9" s="112"/>
      <c r="W9" s="113"/>
      <c r="X9" s="114"/>
      <c r="Y9" s="115">
        <f t="shared" si="4"/>
        <v>0</v>
      </c>
      <c r="Z9" s="116">
        <f t="shared" si="5"/>
        <v>0</v>
      </c>
      <c r="AA9" s="111"/>
      <c r="AB9" s="107"/>
      <c r="AC9" s="117"/>
    </row>
    <row r="10" spans="1:29" x14ac:dyDescent="0.25">
      <c r="A10" s="170">
        <v>7.7</v>
      </c>
      <c r="B10" s="255"/>
      <c r="C10" s="113"/>
      <c r="D10" s="113"/>
      <c r="E10" s="113"/>
      <c r="F10" s="109"/>
      <c r="G10" s="109"/>
      <c r="H10" s="109"/>
      <c r="I10" s="207">
        <f t="shared" si="0"/>
        <v>0</v>
      </c>
      <c r="J10" s="113"/>
      <c r="L10" s="258"/>
      <c r="M10" s="259" t="str">
        <f t="shared" si="1"/>
        <v/>
      </c>
      <c r="N10" s="260"/>
      <c r="O10" s="171">
        <f t="shared" si="2"/>
        <v>0</v>
      </c>
      <c r="P10" s="208" t="str">
        <f t="shared" si="3"/>
        <v/>
      </c>
      <c r="Q10" s="261"/>
      <c r="S10" s="109"/>
      <c r="T10" s="110"/>
      <c r="U10" s="111"/>
      <c r="V10" s="112"/>
      <c r="W10" s="113"/>
      <c r="X10" s="114"/>
      <c r="Y10" s="115">
        <f t="shared" si="4"/>
        <v>0</v>
      </c>
      <c r="Z10" s="116">
        <f t="shared" si="5"/>
        <v>0</v>
      </c>
      <c r="AA10" s="111"/>
      <c r="AB10" s="107"/>
      <c r="AC10" s="117"/>
    </row>
    <row r="11" spans="1:29" x14ac:dyDescent="0.25">
      <c r="A11" s="170">
        <v>7.8</v>
      </c>
      <c r="B11" s="255"/>
      <c r="C11" s="113"/>
      <c r="D11" s="113"/>
      <c r="E11" s="113"/>
      <c r="F11" s="109"/>
      <c r="G11" s="109"/>
      <c r="H11" s="109"/>
      <c r="I11" s="207">
        <f t="shared" si="0"/>
        <v>0</v>
      </c>
      <c r="J11" s="113"/>
      <c r="L11" s="258"/>
      <c r="M11" s="259" t="str">
        <f t="shared" si="1"/>
        <v/>
      </c>
      <c r="N11" s="260"/>
      <c r="O11" s="171">
        <f t="shared" si="2"/>
        <v>0</v>
      </c>
      <c r="P11" s="208" t="str">
        <f t="shared" si="3"/>
        <v/>
      </c>
      <c r="Q11" s="261"/>
      <c r="S11" s="109"/>
      <c r="T11" s="110"/>
      <c r="U11" s="111"/>
      <c r="V11" s="112"/>
      <c r="W11" s="113"/>
      <c r="X11" s="114"/>
      <c r="Y11" s="115">
        <f t="shared" si="4"/>
        <v>0</v>
      </c>
      <c r="Z11" s="116">
        <f t="shared" si="5"/>
        <v>0</v>
      </c>
      <c r="AA11" s="111"/>
      <c r="AB11" s="107"/>
      <c r="AC11" s="117"/>
    </row>
    <row r="12" spans="1:29" x14ac:dyDescent="0.25">
      <c r="A12" s="170">
        <v>7.9</v>
      </c>
      <c r="B12" s="255"/>
      <c r="C12" s="113"/>
      <c r="D12" s="113"/>
      <c r="E12" s="113"/>
      <c r="F12" s="109"/>
      <c r="G12" s="109"/>
      <c r="H12" s="109"/>
      <c r="I12" s="207">
        <f t="shared" si="0"/>
        <v>0</v>
      </c>
      <c r="J12" s="113"/>
      <c r="L12" s="258"/>
      <c r="M12" s="259" t="str">
        <f t="shared" si="1"/>
        <v/>
      </c>
      <c r="N12" s="260"/>
      <c r="O12" s="171">
        <f t="shared" si="2"/>
        <v>0</v>
      </c>
      <c r="P12" s="208" t="str">
        <f t="shared" si="3"/>
        <v/>
      </c>
      <c r="Q12" s="261"/>
      <c r="S12" s="109"/>
      <c r="T12" s="110"/>
      <c r="U12" s="111"/>
      <c r="V12" s="112"/>
      <c r="W12" s="113"/>
      <c r="X12" s="114"/>
      <c r="Y12" s="115">
        <f t="shared" si="4"/>
        <v>0</v>
      </c>
      <c r="Z12" s="116">
        <f t="shared" si="5"/>
        <v>0</v>
      </c>
      <c r="AA12" s="111"/>
      <c r="AB12" s="107"/>
      <c r="AC12" s="117"/>
    </row>
    <row r="13" spans="1:29" x14ac:dyDescent="0.25">
      <c r="A13" s="209">
        <v>7.1</v>
      </c>
      <c r="B13" s="256"/>
      <c r="C13" s="113"/>
      <c r="D13" s="113"/>
      <c r="E13" s="113"/>
      <c r="F13" s="109"/>
      <c r="G13" s="109"/>
      <c r="H13" s="109"/>
      <c r="I13" s="207">
        <f t="shared" si="0"/>
        <v>0</v>
      </c>
      <c r="J13" s="113"/>
      <c r="L13" s="258"/>
      <c r="M13" s="259" t="str">
        <f t="shared" si="1"/>
        <v/>
      </c>
      <c r="N13" s="260"/>
      <c r="O13" s="171">
        <f t="shared" si="2"/>
        <v>0</v>
      </c>
      <c r="P13" s="208" t="str">
        <f t="shared" si="3"/>
        <v/>
      </c>
      <c r="Q13" s="261"/>
      <c r="S13" s="109"/>
      <c r="T13" s="110"/>
      <c r="U13" s="111"/>
      <c r="V13" s="112"/>
      <c r="W13" s="113"/>
      <c r="X13" s="114"/>
      <c r="Y13" s="115">
        <f t="shared" si="4"/>
        <v>0</v>
      </c>
      <c r="Z13" s="116">
        <f t="shared" si="5"/>
        <v>0</v>
      </c>
      <c r="AA13" s="111"/>
      <c r="AB13" s="107"/>
      <c r="AC13" s="117"/>
    </row>
    <row r="14" spans="1:29" x14ac:dyDescent="0.25">
      <c r="A14" s="209">
        <v>7.11</v>
      </c>
      <c r="B14" s="254"/>
      <c r="C14" s="113"/>
      <c r="D14" s="113"/>
      <c r="E14" s="113"/>
      <c r="F14" s="109"/>
      <c r="G14" s="109"/>
      <c r="H14" s="109"/>
      <c r="I14" s="207">
        <f t="shared" si="0"/>
        <v>0</v>
      </c>
      <c r="J14" s="113"/>
      <c r="L14" s="258"/>
      <c r="M14" s="259" t="str">
        <f t="shared" si="1"/>
        <v/>
      </c>
      <c r="N14" s="260"/>
      <c r="O14" s="171">
        <f t="shared" si="2"/>
        <v>0</v>
      </c>
      <c r="P14" s="208" t="str">
        <f t="shared" si="3"/>
        <v/>
      </c>
      <c r="Q14" s="261"/>
      <c r="S14" s="109"/>
      <c r="T14" s="110"/>
      <c r="U14" s="111"/>
      <c r="V14" s="112"/>
      <c r="W14" s="113"/>
      <c r="X14" s="114"/>
      <c r="Y14" s="115">
        <f t="shared" si="4"/>
        <v>0</v>
      </c>
      <c r="Z14" s="116">
        <f t="shared" si="5"/>
        <v>0</v>
      </c>
      <c r="AA14" s="111"/>
      <c r="AB14" s="107"/>
      <c r="AC14" s="117"/>
    </row>
    <row r="15" spans="1:29" x14ac:dyDescent="0.25">
      <c r="A15" s="209">
        <v>7.12</v>
      </c>
      <c r="B15" s="255"/>
      <c r="C15" s="113"/>
      <c r="D15" s="113"/>
      <c r="E15" s="113"/>
      <c r="F15" s="109"/>
      <c r="G15" s="109"/>
      <c r="H15" s="109"/>
      <c r="I15" s="207">
        <f t="shared" si="0"/>
        <v>0</v>
      </c>
      <c r="J15" s="113"/>
      <c r="L15" s="258"/>
      <c r="M15" s="259" t="str">
        <f t="shared" si="1"/>
        <v/>
      </c>
      <c r="N15" s="260"/>
      <c r="O15" s="171">
        <f t="shared" si="2"/>
        <v>0</v>
      </c>
      <c r="P15" s="208" t="str">
        <f t="shared" si="3"/>
        <v/>
      </c>
      <c r="Q15" s="261"/>
      <c r="S15" s="109"/>
      <c r="T15" s="110"/>
      <c r="U15" s="111"/>
      <c r="V15" s="112"/>
      <c r="W15" s="113"/>
      <c r="X15" s="114"/>
      <c r="Y15" s="115">
        <f t="shared" si="4"/>
        <v>0</v>
      </c>
      <c r="Z15" s="116">
        <f t="shared" si="5"/>
        <v>0</v>
      </c>
      <c r="AA15" s="111"/>
      <c r="AB15" s="107"/>
      <c r="AC15" s="117"/>
    </row>
    <row r="16" spans="1:29" x14ac:dyDescent="0.25">
      <c r="A16" s="209">
        <v>7.13</v>
      </c>
      <c r="B16" s="255"/>
      <c r="C16" s="113"/>
      <c r="D16" s="113"/>
      <c r="E16" s="113"/>
      <c r="F16" s="109"/>
      <c r="G16" s="109"/>
      <c r="H16" s="109"/>
      <c r="I16" s="207">
        <f t="shared" si="0"/>
        <v>0</v>
      </c>
      <c r="J16" s="113"/>
      <c r="L16" s="258"/>
      <c r="M16" s="259" t="str">
        <f t="shared" si="1"/>
        <v/>
      </c>
      <c r="N16" s="260"/>
      <c r="O16" s="171">
        <f t="shared" si="2"/>
        <v>0</v>
      </c>
      <c r="P16" s="208" t="str">
        <f t="shared" si="3"/>
        <v/>
      </c>
      <c r="Q16" s="261"/>
      <c r="S16" s="109"/>
      <c r="T16" s="110"/>
      <c r="U16" s="111"/>
      <c r="V16" s="112"/>
      <c r="W16" s="113"/>
      <c r="X16" s="114"/>
      <c r="Y16" s="115">
        <f t="shared" si="4"/>
        <v>0</v>
      </c>
      <c r="Z16" s="116">
        <f t="shared" si="5"/>
        <v>0</v>
      </c>
      <c r="AA16" s="111"/>
      <c r="AB16" s="107"/>
      <c r="AC16" s="117"/>
    </row>
    <row r="17" spans="1:29" x14ac:dyDescent="0.25">
      <c r="A17" s="209">
        <v>7.14</v>
      </c>
      <c r="B17" s="255"/>
      <c r="C17" s="113"/>
      <c r="D17" s="113"/>
      <c r="E17" s="113"/>
      <c r="F17" s="109"/>
      <c r="G17" s="109"/>
      <c r="H17" s="109"/>
      <c r="I17" s="207">
        <f t="shared" si="0"/>
        <v>0</v>
      </c>
      <c r="J17" s="113"/>
      <c r="L17" s="258"/>
      <c r="M17" s="259" t="str">
        <f t="shared" si="1"/>
        <v/>
      </c>
      <c r="N17" s="260"/>
      <c r="O17" s="171">
        <f t="shared" si="2"/>
        <v>0</v>
      </c>
      <c r="P17" s="208" t="str">
        <f t="shared" si="3"/>
        <v/>
      </c>
      <c r="Q17" s="261"/>
      <c r="S17" s="109"/>
      <c r="T17" s="110"/>
      <c r="U17" s="111"/>
      <c r="V17" s="112"/>
      <c r="W17" s="113"/>
      <c r="X17" s="114"/>
      <c r="Y17" s="115">
        <f t="shared" si="4"/>
        <v>0</v>
      </c>
      <c r="Z17" s="116">
        <f t="shared" si="5"/>
        <v>0</v>
      </c>
      <c r="AA17" s="111"/>
      <c r="AB17" s="107"/>
      <c r="AC17" s="117"/>
    </row>
    <row r="18" spans="1:29" x14ac:dyDescent="0.25">
      <c r="A18" s="209">
        <v>7.15</v>
      </c>
      <c r="B18" s="256"/>
      <c r="C18" s="113"/>
      <c r="D18" s="113"/>
      <c r="E18" s="113"/>
      <c r="F18" s="109"/>
      <c r="G18" s="109"/>
      <c r="H18" s="109"/>
      <c r="I18" s="207">
        <f t="shared" si="0"/>
        <v>0</v>
      </c>
      <c r="J18" s="113"/>
      <c r="L18" s="258"/>
      <c r="M18" s="259" t="str">
        <f t="shared" si="1"/>
        <v/>
      </c>
      <c r="N18" s="260"/>
      <c r="O18" s="171">
        <f t="shared" si="2"/>
        <v>0</v>
      </c>
      <c r="P18" s="208" t="str">
        <f t="shared" si="3"/>
        <v/>
      </c>
      <c r="Q18" s="261"/>
      <c r="S18" s="109"/>
      <c r="T18" s="110"/>
      <c r="U18" s="111"/>
      <c r="V18" s="112"/>
      <c r="W18" s="113"/>
      <c r="X18" s="114"/>
      <c r="Y18" s="115">
        <f t="shared" si="4"/>
        <v>0</v>
      </c>
      <c r="Z18" s="116">
        <f t="shared" ref="Z18:Z29" si="6">IF(X18=0,0,Y18/P18)</f>
        <v>0</v>
      </c>
      <c r="AA18" s="111"/>
      <c r="AB18" s="107"/>
      <c r="AC18" s="117"/>
    </row>
    <row r="19" spans="1:29" x14ac:dyDescent="0.25">
      <c r="A19" s="209">
        <v>7.16</v>
      </c>
      <c r="B19" s="254"/>
      <c r="C19" s="113"/>
      <c r="D19" s="113"/>
      <c r="E19" s="113"/>
      <c r="F19" s="109"/>
      <c r="G19" s="109"/>
      <c r="H19" s="109"/>
      <c r="I19" s="207">
        <f t="shared" si="0"/>
        <v>0</v>
      </c>
      <c r="J19" s="113"/>
      <c r="L19" s="258"/>
      <c r="M19" s="259" t="str">
        <f t="shared" si="1"/>
        <v/>
      </c>
      <c r="N19" s="260"/>
      <c r="O19" s="171">
        <f t="shared" si="2"/>
        <v>0</v>
      </c>
      <c r="P19" s="208" t="str">
        <f t="shared" si="3"/>
        <v/>
      </c>
      <c r="Q19" s="261"/>
      <c r="S19" s="109"/>
      <c r="T19" s="110"/>
      <c r="U19" s="111"/>
      <c r="V19" s="112"/>
      <c r="W19" s="113"/>
      <c r="X19" s="114"/>
      <c r="Y19" s="115">
        <f t="shared" si="4"/>
        <v>0</v>
      </c>
      <c r="Z19" s="116">
        <f t="shared" si="6"/>
        <v>0</v>
      </c>
      <c r="AA19" s="111"/>
      <c r="AB19" s="107"/>
      <c r="AC19" s="117"/>
    </row>
    <row r="20" spans="1:29" x14ac:dyDescent="0.25">
      <c r="A20" s="209">
        <v>7.17</v>
      </c>
      <c r="B20" s="255"/>
      <c r="C20" s="113"/>
      <c r="D20" s="113"/>
      <c r="E20" s="113"/>
      <c r="F20" s="109"/>
      <c r="G20" s="109"/>
      <c r="H20" s="109"/>
      <c r="I20" s="207">
        <f t="shared" si="0"/>
        <v>0</v>
      </c>
      <c r="J20" s="113"/>
      <c r="L20" s="258"/>
      <c r="M20" s="259" t="str">
        <f t="shared" si="1"/>
        <v/>
      </c>
      <c r="N20" s="260"/>
      <c r="O20" s="171">
        <f t="shared" si="2"/>
        <v>0</v>
      </c>
      <c r="P20" s="208" t="str">
        <f t="shared" si="3"/>
        <v/>
      </c>
      <c r="Q20" s="261"/>
      <c r="S20" s="109"/>
      <c r="T20" s="110"/>
      <c r="U20" s="111"/>
      <c r="V20" s="112"/>
      <c r="W20" s="113"/>
      <c r="X20" s="114"/>
      <c r="Y20" s="115">
        <f t="shared" si="4"/>
        <v>0</v>
      </c>
      <c r="Z20" s="116">
        <f t="shared" si="6"/>
        <v>0</v>
      </c>
      <c r="AA20" s="111"/>
      <c r="AB20" s="107"/>
      <c r="AC20" s="117"/>
    </row>
    <row r="21" spans="1:29" x14ac:dyDescent="0.25">
      <c r="A21" s="209">
        <v>7.1800000000000104</v>
      </c>
      <c r="B21" s="255"/>
      <c r="C21" s="113"/>
      <c r="D21" s="113"/>
      <c r="E21" s="113"/>
      <c r="F21" s="109"/>
      <c r="G21" s="109"/>
      <c r="H21" s="109"/>
      <c r="I21" s="207">
        <f t="shared" si="0"/>
        <v>0</v>
      </c>
      <c r="J21" s="113"/>
      <c r="L21" s="258"/>
      <c r="M21" s="259" t="str">
        <f t="shared" si="1"/>
        <v/>
      </c>
      <c r="N21" s="260"/>
      <c r="O21" s="171">
        <f t="shared" si="2"/>
        <v>0</v>
      </c>
      <c r="P21" s="208" t="str">
        <f t="shared" si="3"/>
        <v/>
      </c>
      <c r="Q21" s="261"/>
      <c r="S21" s="109"/>
      <c r="T21" s="110"/>
      <c r="U21" s="111"/>
      <c r="V21" s="112"/>
      <c r="W21" s="113"/>
      <c r="X21" s="114"/>
      <c r="Y21" s="115">
        <f t="shared" si="4"/>
        <v>0</v>
      </c>
      <c r="Z21" s="116">
        <f t="shared" si="6"/>
        <v>0</v>
      </c>
      <c r="AA21" s="111"/>
      <c r="AB21" s="107"/>
      <c r="AC21" s="117"/>
    </row>
    <row r="22" spans="1:29" x14ac:dyDescent="0.25">
      <c r="A22" s="209">
        <v>7.1900000000000102</v>
      </c>
      <c r="B22" s="255"/>
      <c r="C22" s="113"/>
      <c r="D22" s="113"/>
      <c r="E22" s="113"/>
      <c r="F22" s="109"/>
      <c r="G22" s="109"/>
      <c r="H22" s="109"/>
      <c r="I22" s="207">
        <f t="shared" si="0"/>
        <v>0</v>
      </c>
      <c r="J22" s="113"/>
      <c r="L22" s="258"/>
      <c r="M22" s="259" t="str">
        <f t="shared" si="1"/>
        <v/>
      </c>
      <c r="N22" s="260"/>
      <c r="O22" s="171">
        <f t="shared" si="2"/>
        <v>0</v>
      </c>
      <c r="P22" s="208" t="str">
        <f t="shared" si="3"/>
        <v/>
      </c>
      <c r="Q22" s="261"/>
      <c r="S22" s="109"/>
      <c r="T22" s="110"/>
      <c r="U22" s="111"/>
      <c r="V22" s="112"/>
      <c r="W22" s="113"/>
      <c r="X22" s="114"/>
      <c r="Y22" s="115">
        <f t="shared" si="4"/>
        <v>0</v>
      </c>
      <c r="Z22" s="116">
        <f t="shared" si="6"/>
        <v>0</v>
      </c>
      <c r="AA22" s="111"/>
      <c r="AB22" s="107"/>
      <c r="AC22" s="117"/>
    </row>
    <row r="23" spans="1:29" x14ac:dyDescent="0.25">
      <c r="A23" s="209">
        <v>7.2000000000000099</v>
      </c>
      <c r="B23" s="256"/>
      <c r="C23" s="113"/>
      <c r="D23" s="113"/>
      <c r="E23" s="113"/>
      <c r="F23" s="109"/>
      <c r="G23" s="109"/>
      <c r="H23" s="109"/>
      <c r="I23" s="207">
        <f t="shared" si="0"/>
        <v>0</v>
      </c>
      <c r="J23" s="113"/>
      <c r="L23" s="258"/>
      <c r="M23" s="259" t="str">
        <f t="shared" si="1"/>
        <v/>
      </c>
      <c r="N23" s="260"/>
      <c r="O23" s="171">
        <f t="shared" si="2"/>
        <v>0</v>
      </c>
      <c r="P23" s="208" t="str">
        <f t="shared" si="3"/>
        <v/>
      </c>
      <c r="Q23" s="261"/>
      <c r="S23" s="109"/>
      <c r="T23" s="110"/>
      <c r="U23" s="111"/>
      <c r="V23" s="112"/>
      <c r="W23" s="113"/>
      <c r="X23" s="114"/>
      <c r="Y23" s="115">
        <f t="shared" si="4"/>
        <v>0</v>
      </c>
      <c r="Z23" s="116">
        <f t="shared" si="6"/>
        <v>0</v>
      </c>
      <c r="AA23" s="111"/>
      <c r="AB23" s="107"/>
      <c r="AC23" s="117"/>
    </row>
    <row r="24" spans="1:29" x14ac:dyDescent="0.25">
      <c r="A24" s="209">
        <v>7.2100000000000097</v>
      </c>
      <c r="B24" s="254"/>
      <c r="C24" s="113"/>
      <c r="D24" s="113"/>
      <c r="E24" s="113"/>
      <c r="F24" s="109"/>
      <c r="G24" s="109"/>
      <c r="H24" s="109"/>
      <c r="I24" s="207">
        <f t="shared" si="0"/>
        <v>0</v>
      </c>
      <c r="J24" s="113"/>
      <c r="L24" s="258"/>
      <c r="M24" s="259" t="str">
        <f t="shared" si="1"/>
        <v/>
      </c>
      <c r="N24" s="260"/>
      <c r="O24" s="171">
        <f t="shared" si="2"/>
        <v>0</v>
      </c>
      <c r="P24" s="208" t="str">
        <f t="shared" si="3"/>
        <v/>
      </c>
      <c r="Q24" s="261"/>
      <c r="S24" s="109"/>
      <c r="T24" s="110"/>
      <c r="U24" s="111"/>
      <c r="V24" s="112"/>
      <c r="W24" s="113"/>
      <c r="X24" s="114"/>
      <c r="Y24" s="115">
        <f t="shared" si="4"/>
        <v>0</v>
      </c>
      <c r="Z24" s="116">
        <f t="shared" si="6"/>
        <v>0</v>
      </c>
      <c r="AA24" s="111"/>
      <c r="AB24" s="107"/>
      <c r="AC24" s="117"/>
    </row>
    <row r="25" spans="1:29" x14ac:dyDescent="0.25">
      <c r="A25" s="209">
        <v>7.2200000000000104</v>
      </c>
      <c r="B25" s="255"/>
      <c r="C25" s="113"/>
      <c r="D25" s="113"/>
      <c r="E25" s="113"/>
      <c r="F25" s="109"/>
      <c r="G25" s="109"/>
      <c r="H25" s="109"/>
      <c r="I25" s="207">
        <f t="shared" si="0"/>
        <v>0</v>
      </c>
      <c r="J25" s="113"/>
      <c r="L25" s="258"/>
      <c r="M25" s="259" t="str">
        <f t="shared" si="1"/>
        <v/>
      </c>
      <c r="N25" s="260"/>
      <c r="O25" s="171">
        <f t="shared" si="2"/>
        <v>0</v>
      </c>
      <c r="P25" s="208" t="str">
        <f t="shared" si="3"/>
        <v/>
      </c>
      <c r="Q25" s="261"/>
      <c r="S25" s="109"/>
      <c r="T25" s="110"/>
      <c r="U25" s="111"/>
      <c r="V25" s="112"/>
      <c r="W25" s="113"/>
      <c r="X25" s="114"/>
      <c r="Y25" s="115">
        <f t="shared" si="4"/>
        <v>0</v>
      </c>
      <c r="Z25" s="116">
        <f t="shared" si="6"/>
        <v>0</v>
      </c>
      <c r="AA25" s="111"/>
      <c r="AB25" s="107"/>
      <c r="AC25" s="117"/>
    </row>
    <row r="26" spans="1:29" x14ac:dyDescent="0.25">
      <c r="A26" s="209">
        <v>7.2300000000000102</v>
      </c>
      <c r="B26" s="255"/>
      <c r="C26" s="113"/>
      <c r="D26" s="113"/>
      <c r="E26" s="113"/>
      <c r="F26" s="109"/>
      <c r="G26" s="109"/>
      <c r="H26" s="109"/>
      <c r="I26" s="207">
        <f t="shared" si="0"/>
        <v>0</v>
      </c>
      <c r="J26" s="113"/>
      <c r="L26" s="258"/>
      <c r="M26" s="259" t="str">
        <f t="shared" si="1"/>
        <v/>
      </c>
      <c r="N26" s="260"/>
      <c r="O26" s="171">
        <f t="shared" si="2"/>
        <v>0</v>
      </c>
      <c r="P26" s="208" t="str">
        <f t="shared" si="3"/>
        <v/>
      </c>
      <c r="Q26" s="261"/>
      <c r="S26" s="109"/>
      <c r="T26" s="110"/>
      <c r="U26" s="111"/>
      <c r="V26" s="112"/>
      <c r="W26" s="113"/>
      <c r="X26" s="114"/>
      <c r="Y26" s="115">
        <f t="shared" si="4"/>
        <v>0</v>
      </c>
      <c r="Z26" s="116">
        <f t="shared" si="6"/>
        <v>0</v>
      </c>
      <c r="AA26" s="111"/>
      <c r="AB26" s="107"/>
      <c r="AC26" s="117"/>
    </row>
    <row r="27" spans="1:29" x14ac:dyDescent="0.25">
      <c r="A27" s="209">
        <v>7.24000000000001</v>
      </c>
      <c r="B27" s="255"/>
      <c r="C27" s="113"/>
      <c r="D27" s="113"/>
      <c r="E27" s="113"/>
      <c r="F27" s="109"/>
      <c r="G27" s="109"/>
      <c r="H27" s="109"/>
      <c r="I27" s="207">
        <f t="shared" si="0"/>
        <v>0</v>
      </c>
      <c r="J27" s="113"/>
      <c r="L27" s="258"/>
      <c r="M27" s="259" t="str">
        <f t="shared" si="1"/>
        <v/>
      </c>
      <c r="N27" s="260"/>
      <c r="O27" s="171">
        <f t="shared" si="2"/>
        <v>0</v>
      </c>
      <c r="P27" s="208" t="str">
        <f t="shared" si="3"/>
        <v/>
      </c>
      <c r="Q27" s="261"/>
      <c r="S27" s="109"/>
      <c r="T27" s="110"/>
      <c r="U27" s="111"/>
      <c r="V27" s="112"/>
      <c r="W27" s="113"/>
      <c r="X27" s="114"/>
      <c r="Y27" s="115">
        <f t="shared" si="4"/>
        <v>0</v>
      </c>
      <c r="Z27" s="116">
        <f t="shared" si="6"/>
        <v>0</v>
      </c>
      <c r="AA27" s="111"/>
      <c r="AB27" s="107"/>
      <c r="AC27" s="117"/>
    </row>
    <row r="28" spans="1:29" x14ac:dyDescent="0.25">
      <c r="A28" s="209">
        <v>7.2500000000000098</v>
      </c>
      <c r="B28" s="256"/>
      <c r="C28" s="113"/>
      <c r="D28" s="113"/>
      <c r="E28" s="113"/>
      <c r="F28" s="109"/>
      <c r="G28" s="109"/>
      <c r="H28" s="109"/>
      <c r="I28" s="207">
        <f t="shared" si="0"/>
        <v>0</v>
      </c>
      <c r="J28" s="113"/>
      <c r="L28" s="258"/>
      <c r="M28" s="259" t="str">
        <f t="shared" si="1"/>
        <v/>
      </c>
      <c r="N28" s="260"/>
      <c r="O28" s="171">
        <f t="shared" si="2"/>
        <v>0</v>
      </c>
      <c r="P28" s="208" t="str">
        <f t="shared" si="3"/>
        <v/>
      </c>
      <c r="Q28" s="261"/>
      <c r="S28" s="109"/>
      <c r="T28" s="110"/>
      <c r="U28" s="111"/>
      <c r="V28" s="112"/>
      <c r="W28" s="113"/>
      <c r="X28" s="114"/>
      <c r="Y28" s="115">
        <f t="shared" si="4"/>
        <v>0</v>
      </c>
      <c r="Z28" s="116">
        <f t="shared" si="6"/>
        <v>0</v>
      </c>
      <c r="AA28" s="111"/>
      <c r="AB28" s="107"/>
      <c r="AC28" s="117"/>
    </row>
    <row r="29" spans="1:29" s="25" customFormat="1" x14ac:dyDescent="0.25">
      <c r="A29" s="66" t="s">
        <v>369</v>
      </c>
      <c r="B29" s="219"/>
      <c r="C29" s="213"/>
      <c r="D29" s="213"/>
      <c r="E29" s="213"/>
      <c r="F29" s="213"/>
      <c r="G29" s="213"/>
      <c r="H29" s="250"/>
      <c r="I29" s="214">
        <f>SUM(I4:I28)</f>
        <v>0</v>
      </c>
      <c r="J29" s="215"/>
      <c r="K29" s="216"/>
      <c r="L29" s="215"/>
      <c r="M29" s="217"/>
      <c r="N29" s="217"/>
      <c r="O29" s="217"/>
      <c r="P29" s="215">
        <f>SUM(P4:P28)</f>
        <v>0</v>
      </c>
      <c r="Q29" s="215" t="str">
        <f>A29</f>
        <v>סה"כ ציוד נוסף שלא קיים בתקן כולל מע"מ</v>
      </c>
      <c r="S29" s="215">
        <f>SUM(S4:S28)</f>
        <v>0</v>
      </c>
      <c r="T29" s="149"/>
      <c r="U29" s="150"/>
      <c r="V29" s="151"/>
      <c r="W29" s="152"/>
      <c r="X29" s="215">
        <f>SUM(X4:X28)</f>
        <v>0</v>
      </c>
      <c r="Y29" s="115">
        <f t="shared" si="4"/>
        <v>0</v>
      </c>
      <c r="Z29" s="116">
        <f t="shared" si="6"/>
        <v>0</v>
      </c>
      <c r="AA29" s="150"/>
      <c r="AB29" s="154"/>
      <c r="AC29" s="155"/>
    </row>
    <row r="30" spans="1:29" x14ac:dyDescent="0.25">
      <c r="S30" s="23"/>
      <c r="T30" s="23"/>
      <c r="U30" s="23"/>
      <c r="V30" s="23"/>
      <c r="W30" s="23"/>
      <c r="X30" s="23"/>
      <c r="Y30" s="23"/>
      <c r="Z30" s="23"/>
      <c r="AA30" s="23"/>
      <c r="AB30" s="23"/>
      <c r="AC30" s="23"/>
    </row>
    <row r="31" spans="1:29" x14ac:dyDescent="0.25">
      <c r="S31" s="23"/>
      <c r="T31" s="23"/>
      <c r="U31" s="23"/>
      <c r="V31" s="23"/>
      <c r="W31" s="23"/>
      <c r="X31" s="23"/>
      <c r="Y31" s="23"/>
      <c r="Z31" s="23"/>
      <c r="AA31" s="23"/>
      <c r="AB31" s="23"/>
      <c r="AC31" s="23"/>
    </row>
    <row r="32" spans="1:29" x14ac:dyDescent="0.25">
      <c r="S32" s="23"/>
      <c r="T32" s="23"/>
      <c r="U32" s="23"/>
      <c r="V32" s="23"/>
      <c r="W32" s="23"/>
      <c r="X32" s="23"/>
      <c r="Y32" s="23"/>
      <c r="Z32" s="23"/>
      <c r="AA32" s="23"/>
      <c r="AB32" s="23"/>
      <c r="AC32" s="23"/>
    </row>
    <row r="33" spans="19:26" x14ac:dyDescent="0.25">
      <c r="S33" s="23"/>
      <c r="T33" s="23"/>
      <c r="U33" s="23"/>
      <c r="V33" s="23"/>
      <c r="W33" s="23"/>
      <c r="X33" s="23"/>
      <c r="Y33" s="23"/>
      <c r="Z33" s="23"/>
    </row>
    <row r="34" spans="19:26" x14ac:dyDescent="0.25">
      <c r="S34" s="23"/>
      <c r="T34" s="23"/>
      <c r="U34" s="23"/>
      <c r="V34" s="23"/>
      <c r="W34" s="23"/>
      <c r="X34" s="23"/>
      <c r="Y34" s="23"/>
      <c r="Z34" s="23"/>
    </row>
    <row r="35" spans="19:26" x14ac:dyDescent="0.25">
      <c r="S35" s="23"/>
      <c r="T35" s="23"/>
      <c r="U35" s="23"/>
      <c r="V35" s="23"/>
      <c r="W35" s="23"/>
      <c r="X35" s="23"/>
      <c r="Y35" s="23"/>
      <c r="Z35" s="23"/>
    </row>
  </sheetData>
  <sheetProtection algorithmName="SHA-512" hashValue="CiDQXnKPFteVPClARaGDDEAgFfoeMQ0ZxMI52QET56HS++P55WazoiDiVTEYUViZTsyavYolb/eXkshDUS1FaA==" saltValue="gv58MN+MXFY+J+oCvDNWpA==" spinCount="100000" sheet="1" formatCells="0" formatColumns="0" formatRows="0"/>
  <conditionalFormatting sqref="F4:H28">
    <cfRule type="containsText" dxfId="2" priority="1" operator="containsText" text="נא להסביר חריגה כאן">
      <formula>NOT(ISERROR(SEARCH("נא להסביר חריגה כאן",F4)))</formula>
    </cfRule>
  </conditionalFormatting>
  <conditionalFormatting sqref="S4:S28">
    <cfRule type="containsText" dxfId="1" priority="4" operator="containsText" text="נא להסביר חריגה כאן">
      <formula>NOT(ISERROR(SEARCH("נא להסביר חריגה כאן",S4)))</formula>
    </cfRule>
  </conditionalFormatting>
  <conditionalFormatting sqref="Y4:Z29">
    <cfRule type="cellIs" dxfId="0" priority="3" operator="greaterThan">
      <formula>0</formula>
    </cfRule>
  </conditionalFormatting>
  <dataValidations count="2">
    <dataValidation type="list" allowBlank="1" showInputMessage="1" showErrorMessage="1" sqref="L4:L28">
      <formula1>"מאשר, מאשר חלקי, לא מאשר"</formula1>
    </dataValidation>
    <dataValidation type="list" allowBlank="1" showInputMessage="1" showErrorMessage="1" sqref="N4:N28">
      <formula1>"הצעה א, הצעה ב, הצעה ג"</formula1>
    </dataValidation>
  </dataValidations>
  <pageMargins left="0.70866141732283472" right="0.70866141732283472" top="0.74803149606299213" bottom="0.74803149606299213" header="0.31496062992125984" footer="0.31496062992125984"/>
  <pageSetup paperSize="9" scale="90"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K57"/>
  <sheetViews>
    <sheetView showGridLines="0" rightToLeft="1" zoomScale="80" zoomScaleNormal="80" workbookViewId="0"/>
  </sheetViews>
  <sheetFormatPr defaultColWidth="13.25" defaultRowHeight="15" outlineLevelRow="1" outlineLevelCol="4" x14ac:dyDescent="0.25"/>
  <cols>
    <col min="1" max="1" width="2.125" style="92" customWidth="1"/>
    <col min="2" max="2" width="3.75" style="92" customWidth="1"/>
    <col min="3" max="3" width="7.75" style="92" customWidth="1"/>
    <col min="4" max="4" width="22.75" style="92" customWidth="1"/>
    <col min="5" max="5" width="19.875" style="92" customWidth="1"/>
    <col min="6" max="6" width="29.25" style="92" customWidth="1"/>
    <col min="7" max="7" width="12.75" style="92" customWidth="1"/>
    <col min="8" max="8" width="1.75" style="92" customWidth="1"/>
    <col min="9" max="9" width="19" style="92" hidden="1" customWidth="1" outlineLevel="4"/>
    <col min="10" max="10" width="1.625" style="92" hidden="1" customWidth="1" outlineLevel="4"/>
    <col min="11" max="11" width="13.25" style="92" collapsed="1"/>
    <col min="12" max="16384" width="13.25" style="92"/>
  </cols>
  <sheetData>
    <row r="2" spans="2:10" x14ac:dyDescent="0.25">
      <c r="B2" s="165"/>
      <c r="C2" s="166"/>
      <c r="D2" s="167" t="str">
        <f>'תוכן עניינים'!$B$7</f>
        <v>תקן ריהוט וציוד לדיור  קהילתי - גירסה: 07/09/26</v>
      </c>
      <c r="E2" s="166"/>
      <c r="F2" s="166"/>
      <c r="G2" s="166"/>
      <c r="H2" s="85"/>
    </row>
    <row r="3" spans="2:10" x14ac:dyDescent="0.25">
      <c r="B3" s="169"/>
      <c r="D3" s="92" t="s">
        <v>370</v>
      </c>
      <c r="F3" s="173" t="str">
        <f>'שאלון למילוי הגוף-חובה'!C25</f>
        <v>פרויקט ארצי</v>
      </c>
      <c r="G3" s="196">
        <f>'שאלון למילוי הגוף-חובה'!D25</f>
        <v>0</v>
      </c>
      <c r="H3" s="172" t="str">
        <f t="shared" ref="H3:H6" si="0">IF(G3=0,"יש למלא שאלון","")</f>
        <v>יש למלא שאלון</v>
      </c>
    </row>
    <row r="4" spans="2:10" x14ac:dyDescent="0.25">
      <c r="B4" s="169"/>
      <c r="F4" s="173" t="s">
        <v>371</v>
      </c>
      <c r="G4" s="196">
        <f>IF(G3="כן",10,'שאלון למילוי הגוף-חובה'!D26)</f>
        <v>0</v>
      </c>
      <c r="H4" s="172" t="str">
        <f>IF(G4="","יש למלא שאלון","")</f>
        <v/>
      </c>
    </row>
    <row r="5" spans="2:10" x14ac:dyDescent="0.25">
      <c r="B5" s="169"/>
      <c r="F5" s="173" t="str">
        <f>'שאלון למילוי הגוף-חובה'!C27</f>
        <v>קו עימות</v>
      </c>
      <c r="G5" s="196">
        <f>'שאלון למילוי הגוף-חובה'!D27</f>
        <v>0</v>
      </c>
      <c r="H5" s="172" t="str">
        <f t="shared" si="0"/>
        <v>יש למלא שאלון</v>
      </c>
    </row>
    <row r="6" spans="2:10" x14ac:dyDescent="0.25">
      <c r="B6" s="169"/>
      <c r="F6" s="173" t="str">
        <f>'שאלון למילוי הגוף-חובה'!C28</f>
        <v>האם הגוף המבקש הינו גוף פרטי?</v>
      </c>
      <c r="G6" s="196">
        <f>'שאלון למילוי הגוף-חובה'!D28</f>
        <v>0</v>
      </c>
      <c r="H6" s="172" t="str">
        <f t="shared" si="0"/>
        <v>יש למלא שאלון</v>
      </c>
    </row>
    <row r="7" spans="2:10" ht="29.25" outlineLevel="1" x14ac:dyDescent="0.25">
      <c r="B7" s="169"/>
      <c r="F7" s="198" t="s">
        <v>372</v>
      </c>
      <c r="G7" s="199">
        <v>700000</v>
      </c>
      <c r="H7" s="197" t="str">
        <f>IF(G7=0,"יש לרשום סכום","")</f>
        <v/>
      </c>
    </row>
    <row r="8" spans="2:10" x14ac:dyDescent="0.25">
      <c r="B8" s="169"/>
      <c r="D8" s="92" t="str">
        <f>'שאלון למילוי הגוף-חובה'!C9</f>
        <v>תאריך הגשת הבקשה</v>
      </c>
      <c r="E8" s="264">
        <f>'שאלון למילוי הגוף-חובה'!D9</f>
        <v>0</v>
      </c>
      <c r="F8" s="310" t="str">
        <f>IF(E8=0,"יש למלא שאלון","")</f>
        <v>יש למלא שאלון</v>
      </c>
      <c r="H8" s="88"/>
    </row>
    <row r="9" spans="2:10" x14ac:dyDescent="0.25">
      <c r="B9" s="169"/>
      <c r="D9" s="92" t="str">
        <f>'שאלון למילוי הגוף-חובה'!C10</f>
        <v>שם הגוף המבקש</v>
      </c>
      <c r="E9" s="92">
        <f>'שאלון למילוי הגוף-חובה'!D10</f>
        <v>0</v>
      </c>
      <c r="F9" s="310" t="str">
        <f t="shared" ref="F9:F13" si="1">IF(E9=0,"יש למלא שאלון","")</f>
        <v>יש למלא שאלון</v>
      </c>
      <c r="H9" s="88"/>
    </row>
    <row r="10" spans="2:10" x14ac:dyDescent="0.25">
      <c r="B10" s="169"/>
      <c r="D10" s="92" t="str">
        <f>'שאלון למילוי הגוף-חובה'!C18</f>
        <v>שם המסגרת</v>
      </c>
      <c r="E10" s="92">
        <f>'שאלון למילוי הגוף-חובה'!D18</f>
        <v>0</v>
      </c>
      <c r="F10" s="19" t="str">
        <f t="shared" si="1"/>
        <v>יש למלא שאלון</v>
      </c>
      <c r="H10" s="88"/>
    </row>
    <row r="11" spans="2:10" x14ac:dyDescent="0.25">
      <c r="B11" s="169"/>
      <c r="D11" s="92" t="s">
        <v>373</v>
      </c>
      <c r="E11" s="92">
        <f>'שאלון למילוי הגוף-חובה'!D30+'שאלון למילוי הגוף-חובה'!D33</f>
        <v>1</v>
      </c>
      <c r="F11" s="310" t="str">
        <f t="shared" si="1"/>
        <v/>
      </c>
      <c r="H11" s="88"/>
    </row>
    <row r="12" spans="2:10" x14ac:dyDescent="0.25">
      <c r="B12" s="169"/>
      <c r="D12" s="92" t="s">
        <v>374</v>
      </c>
      <c r="E12" s="92">
        <f>'שאלון למילוי הגוף-חובה'!D36</f>
        <v>5</v>
      </c>
      <c r="F12" s="310" t="str">
        <f t="shared" si="1"/>
        <v/>
      </c>
      <c r="H12" s="88"/>
    </row>
    <row r="13" spans="2:10" x14ac:dyDescent="0.25">
      <c r="B13" s="169"/>
      <c r="D13" s="92" t="s">
        <v>375</v>
      </c>
      <c r="E13" s="92">
        <f>'שאלון למילוי הגוף-חובה'!D37</f>
        <v>6</v>
      </c>
      <c r="F13" s="310" t="str">
        <f t="shared" si="1"/>
        <v/>
      </c>
      <c r="H13" s="88"/>
    </row>
    <row r="14" spans="2:10" x14ac:dyDescent="0.25">
      <c r="B14" s="169"/>
      <c r="H14" s="88"/>
    </row>
    <row r="15" spans="2:10" x14ac:dyDescent="0.25">
      <c r="B15" s="169"/>
      <c r="C15" s="4" t="s">
        <v>376</v>
      </c>
      <c r="E15" s="9"/>
      <c r="H15" s="88"/>
    </row>
    <row r="16" spans="2:10" ht="25.9" customHeight="1" x14ac:dyDescent="0.25">
      <c r="B16" s="169"/>
      <c r="C16" s="173" t="s">
        <v>147</v>
      </c>
      <c r="D16" s="173" t="s">
        <v>377</v>
      </c>
      <c r="E16" s="177" t="s">
        <v>378</v>
      </c>
      <c r="H16" s="172"/>
      <c r="I16" s="177" t="s">
        <v>411</v>
      </c>
      <c r="J16" s="177" t="s">
        <v>412</v>
      </c>
    </row>
    <row r="17" spans="2:10" x14ac:dyDescent="0.25">
      <c r="B17" s="169"/>
      <c r="C17" s="173">
        <f>'חדרי שינה'!A2</f>
        <v>1</v>
      </c>
      <c r="D17" s="173" t="str">
        <f>'חדרי שינה'!B2</f>
        <v>חדרי שינה: ציוד וריהוט</v>
      </c>
      <c r="E17" s="175">
        <f>'חדרי שינה'!J19</f>
        <v>0</v>
      </c>
      <c r="F17" s="308" t="str">
        <f>IF(MAX('חדרי שינה'!K5:K19)&gt;0,"חריגות","")</f>
        <v/>
      </c>
      <c r="H17" s="172"/>
      <c r="I17" s="175">
        <f>'חדרי שינה'!P19</f>
        <v>0</v>
      </c>
      <c r="J17" s="175">
        <f>'חדרי שינה'!U19</f>
        <v>0</v>
      </c>
    </row>
    <row r="18" spans="2:10" ht="30" x14ac:dyDescent="0.25">
      <c r="B18" s="169"/>
      <c r="C18" s="176">
        <f>'דירה קהילתית-חללים משותפים '!A2</f>
        <v>2</v>
      </c>
      <c r="D18" s="177" t="str">
        <f>'דירה קהילתית-חללים משותפים '!B2</f>
        <v>דירה קהלתית: ציוד חללים משותפים (עד 8 דיירים)</v>
      </c>
      <c r="E18" s="175"/>
      <c r="F18" s="308" t="str">
        <f>IF(MAX('דירה קהילתית-חללים משותפים '!K6:K57)&gt;0,"חריגות","")</f>
        <v/>
      </c>
      <c r="H18" s="172"/>
      <c r="I18" s="175"/>
      <c r="J18" s="175"/>
    </row>
    <row r="19" spans="2:10" x14ac:dyDescent="0.25">
      <c r="B19" s="169"/>
      <c r="C19" s="176">
        <f>'דירה קהילתית-חללים משותפים '!A5</f>
        <v>2.1</v>
      </c>
      <c r="D19" s="178" t="str">
        <f>'דירה קהילתית-חללים משותפים '!C5</f>
        <v>מטבח</v>
      </c>
      <c r="E19" s="175">
        <f>'דירה קהילתית-חללים משותפים '!J21</f>
        <v>0</v>
      </c>
      <c r="F19" s="308" t="str">
        <f>IF(MAX('דירה קהילתית-חללים משותפים '!K6:K21)&gt;0,"חריגות","")</f>
        <v/>
      </c>
      <c r="H19" s="172"/>
      <c r="I19" s="175">
        <f>'דירה קהילתית-חללים משותפים '!P21</f>
        <v>0</v>
      </c>
      <c r="J19" s="175">
        <f>'דירה קהילתית-חללים משותפים '!U21</f>
        <v>0</v>
      </c>
    </row>
    <row r="20" spans="2:10" x14ac:dyDescent="0.25">
      <c r="B20" s="169"/>
      <c r="C20" s="176">
        <f>'דירה קהילתית-חללים משותפים '!A22</f>
        <v>2.2000000000000002</v>
      </c>
      <c r="D20" s="178" t="str">
        <f>'דירה קהילתית-חללים משותפים '!C22</f>
        <v xml:space="preserve">סלון </v>
      </c>
      <c r="E20" s="175">
        <f>'דירה קהילתית-חללים משותפים '!J37</f>
        <v>0</v>
      </c>
      <c r="F20" s="308" t="str">
        <f>IF(MAX('דירה קהילתית-חללים משותפים '!K23:K37)&gt;0,"חריגות","")</f>
        <v/>
      </c>
      <c r="H20" s="172"/>
      <c r="I20" s="175">
        <f>'דירה קהילתית-חללים משותפים '!P37</f>
        <v>0</v>
      </c>
      <c r="J20" s="175">
        <f>'דירה קהילתית-חללים משותפים '!U37</f>
        <v>0</v>
      </c>
    </row>
    <row r="21" spans="2:10" x14ac:dyDescent="0.25">
      <c r="B21" s="169"/>
      <c r="C21" s="176">
        <f>'דירה קהילתית-חללים משותפים '!A38</f>
        <v>2.2999999999999998</v>
      </c>
      <c r="D21" s="178" t="str">
        <f>'דירה קהילתית-חללים משותפים '!C38</f>
        <v xml:space="preserve">ציוד כללי </v>
      </c>
      <c r="E21" s="175">
        <f>'דירה קהילתית-חללים משותפים '!J52</f>
        <v>0</v>
      </c>
      <c r="F21" s="308" t="str">
        <f>IF(MAX('דירה קהילתית-חללים משותפים '!K39:K52)&gt;0,"חריגות","")</f>
        <v/>
      </c>
      <c r="H21" s="172"/>
      <c r="I21" s="175">
        <f>'דירה קהילתית-חללים משותפים '!P52</f>
        <v>0</v>
      </c>
      <c r="J21" s="175">
        <f>'דירה קהילתית-חללים משותפים '!U52</f>
        <v>0</v>
      </c>
    </row>
    <row r="22" spans="2:10" x14ac:dyDescent="0.25">
      <c r="B22" s="169"/>
      <c r="C22" s="176">
        <f>'דירה קהילתית-חללים משותפים '!A53</f>
        <v>2.4</v>
      </c>
      <c r="D22" s="178" t="str">
        <f>'דירה קהילתית-חללים משותפים '!C53</f>
        <v>ציוד חצר/ מרפסת</v>
      </c>
      <c r="E22" s="175">
        <f>'דירה קהילתית-חללים משותפים '!J56</f>
        <v>0</v>
      </c>
      <c r="F22" s="308" t="str">
        <f>IF(MAX('דירה קהילתית-חללים משותפים '!K54:K56)&gt;0,"חריגות","")</f>
        <v/>
      </c>
      <c r="H22" s="172"/>
      <c r="I22" s="175">
        <f>'דירה קהילתית-חללים משותפים '!P56</f>
        <v>0</v>
      </c>
      <c r="J22" s="175">
        <f>'דירה קהילתית-חללים משותפים '!U56</f>
        <v>0</v>
      </c>
    </row>
    <row r="23" spans="2:10" ht="30" x14ac:dyDescent="0.25">
      <c r="B23" s="169"/>
      <c r="C23" s="176">
        <f>'בית שיתופי-חללים משותפים'!A2</f>
        <v>3</v>
      </c>
      <c r="D23" s="177" t="str">
        <f>'בית שיתופי-חללים משותפים'!B2</f>
        <v>בית שיתופי: ציוד חללים משותפים (מעל 8 דיירים)</v>
      </c>
      <c r="E23" s="175"/>
      <c r="F23" s="308" t="str">
        <f>IF(MAX('בית שיתופי-חללים משותפים'!K6:K63)&gt;0,"חריגות","")</f>
        <v/>
      </c>
      <c r="H23" s="172"/>
      <c r="I23" s="175"/>
      <c r="J23" s="175"/>
    </row>
    <row r="24" spans="2:10" x14ac:dyDescent="0.25">
      <c r="B24" s="169"/>
      <c r="C24" s="176">
        <f>'בית שיתופי-חללים משותפים'!A5</f>
        <v>3.1</v>
      </c>
      <c r="D24" s="178" t="str">
        <f>'בית שיתופי-חללים משותפים'!C5</f>
        <v>מטבח מרכזי</v>
      </c>
      <c r="E24" s="175">
        <f>'בית שיתופי-חללים משותפים'!J21</f>
        <v>0</v>
      </c>
      <c r="F24" s="308" t="str">
        <f>IF(MAX('בית שיתופי-חללים משותפים'!K6:K21)&gt;0,"חריגות","")</f>
        <v/>
      </c>
      <c r="H24" s="172"/>
      <c r="I24" s="175">
        <f>'בית שיתופי-חללים משותפים'!P21</f>
        <v>0</v>
      </c>
      <c r="J24" s="175">
        <f>'בית שיתופי-חללים משותפים'!U21</f>
        <v>0</v>
      </c>
    </row>
    <row r="25" spans="2:10" x14ac:dyDescent="0.25">
      <c r="B25" s="169"/>
      <c r="C25" s="176">
        <f>'בית שיתופי-חללים משותפים'!A22</f>
        <v>3.2</v>
      </c>
      <c r="D25" s="178" t="str">
        <f>'בית שיתופי-חללים משותפים'!C22</f>
        <v>סלון מרכזי</v>
      </c>
      <c r="E25" s="175">
        <f>'בית שיתופי-חללים משותפים'!J39</f>
        <v>0</v>
      </c>
      <c r="F25" s="308" t="str">
        <f>IF(MAX('בית שיתופי-חללים משותפים'!K23:K39)&gt;0,"חריגות","")</f>
        <v/>
      </c>
      <c r="H25" s="172"/>
      <c r="I25" s="175">
        <f>'בית שיתופי-חללים משותפים'!P39</f>
        <v>0</v>
      </c>
      <c r="J25" s="175">
        <f>'בית שיתופי-חללים משותפים'!U39</f>
        <v>0</v>
      </c>
    </row>
    <row r="26" spans="2:10" x14ac:dyDescent="0.25">
      <c r="B26" s="169"/>
      <c r="C26" s="176">
        <f>'בית שיתופי-חללים משותפים'!A40</f>
        <v>3.3</v>
      </c>
      <c r="D26" s="178" t="str">
        <f>'בית שיתופי-חללים משותפים'!C40</f>
        <v xml:space="preserve">ציוד עזרה ראשונה </v>
      </c>
      <c r="E26" s="175">
        <f>'בית שיתופי-חללים משותפים'!J44</f>
        <v>0</v>
      </c>
      <c r="F26" s="308" t="str">
        <f>IF(MAX('בית שיתופי-חללים משותפים'!K41:K44)&gt;0,"חריגות","")</f>
        <v/>
      </c>
      <c r="H26" s="172"/>
      <c r="I26" s="175">
        <f>'בית שיתופי-חללים משותפים'!P44</f>
        <v>0</v>
      </c>
      <c r="J26" s="175">
        <f>'בית שיתופי-חללים משותפים'!U44</f>
        <v>0</v>
      </c>
    </row>
    <row r="27" spans="2:10" x14ac:dyDescent="0.25">
      <c r="B27" s="169"/>
      <c r="C27" s="176">
        <f>'בית שיתופי-חללים משותפים'!A45</f>
        <v>3.4</v>
      </c>
      <c r="D27" s="178" t="str">
        <f>'בית שיתופי-חללים משותפים'!C45</f>
        <v>ציוד כללי</v>
      </c>
      <c r="E27" s="175">
        <f>'בית שיתופי-חללים משותפים'!J58</f>
        <v>0</v>
      </c>
      <c r="F27" s="308" t="str">
        <f>IF(MAX('בית שיתופי-חללים משותפים'!K46:K58)&gt;0,"חריגות","")</f>
        <v/>
      </c>
      <c r="H27" s="172"/>
      <c r="I27" s="175">
        <f>'בית שיתופי-חללים משותפים'!P58</f>
        <v>0</v>
      </c>
      <c r="J27" s="175">
        <f>'בית שיתופי-חללים משותפים'!U58</f>
        <v>0</v>
      </c>
    </row>
    <row r="28" spans="2:10" x14ac:dyDescent="0.25">
      <c r="B28" s="169"/>
      <c r="C28" s="176">
        <f>'בית שיתופי-חללים משותפים'!A59</f>
        <v>3.5</v>
      </c>
      <c r="D28" s="178" t="str">
        <f>'בית שיתופי-חללים משותפים'!C59</f>
        <v>ציוד חצר/ מרפסת</v>
      </c>
      <c r="E28" s="175">
        <f>'בית שיתופי-חללים משותפים'!J62</f>
        <v>0</v>
      </c>
      <c r="F28" s="308" t="str">
        <f>IF(MAX('בית שיתופי-חללים משותפים'!K60:K62)&gt;0,"חריגות","")</f>
        <v/>
      </c>
      <c r="H28" s="172"/>
      <c r="I28" s="175">
        <f>'בית שיתופי-חללים משותפים'!P62</f>
        <v>0</v>
      </c>
      <c r="J28" s="175">
        <f>'בית שיתופי-חללים משותפים'!U62</f>
        <v>0</v>
      </c>
    </row>
    <row r="29" spans="2:10" ht="30" x14ac:dyDescent="0.25">
      <c r="B29" s="169"/>
      <c r="C29" s="176">
        <f>'בית שיתופי-סלון ומטבחון נוספים'!A2</f>
        <v>4</v>
      </c>
      <c r="D29" s="177" t="str">
        <f>'בית שיתופי-סלון ומטבחון נוספים'!B2</f>
        <v>בית שיתופי: אופציה למטבחון וסלון קטן (מעל 8 דיירים)</v>
      </c>
      <c r="E29" s="175"/>
      <c r="F29" s="308" t="str">
        <f>IF(MAX('בית שיתופי-סלון ומטבחון נוספים'!K6:K24)&gt;0,"חריגות","")</f>
        <v/>
      </c>
      <c r="H29" s="172"/>
      <c r="I29" s="175"/>
      <c r="J29" s="175"/>
    </row>
    <row r="30" spans="2:10" x14ac:dyDescent="0.25">
      <c r="B30" s="169"/>
      <c r="C30" s="176">
        <f>'בית שיתופי-סלון ומטבחון נוספים'!A5</f>
        <v>4.0999999999999996</v>
      </c>
      <c r="D30" s="178" t="str">
        <f>'בית שיתופי-סלון ומטבחון נוספים'!C5</f>
        <v>מטבחון</v>
      </c>
      <c r="E30" s="175">
        <f>'בית שיתופי-סלון ומטבחון נוספים'!J11</f>
        <v>0</v>
      </c>
      <c r="F30" s="308" t="str">
        <f>IF(MAX('בית שיתופי-סלון ומטבחון נוספים'!K6:K11)&gt;0,"חריגות","")</f>
        <v/>
      </c>
      <c r="H30" s="172"/>
      <c r="I30" s="175">
        <f>'בית שיתופי-סלון ומטבחון נוספים'!P11</f>
        <v>0</v>
      </c>
      <c r="J30" s="175">
        <f>'בית שיתופי-סלון ומטבחון נוספים'!U11</f>
        <v>0</v>
      </c>
    </row>
    <row r="31" spans="2:10" x14ac:dyDescent="0.25">
      <c r="B31" s="169"/>
      <c r="C31" s="173">
        <f>'בית שיתופי-סלון ומטבחון נוספים'!A12</f>
        <v>4.2</v>
      </c>
      <c r="D31" s="178" t="str">
        <f>'בית שיתופי-סלון ומטבחון נוספים'!C12</f>
        <v xml:space="preserve">סלון קטן </v>
      </c>
      <c r="E31" s="175">
        <f>'בית שיתופי-סלון ומטבחון נוספים'!J23</f>
        <v>0</v>
      </c>
      <c r="F31" s="308" t="str">
        <f>IF(MAX('בית שיתופי-סלון ומטבחון נוספים'!K13:K23)&gt;0,"חריגות","")</f>
        <v/>
      </c>
      <c r="H31" s="172"/>
      <c r="I31" s="175">
        <f>'בית שיתופי-סלון ומטבחון נוספים'!P23</f>
        <v>0</v>
      </c>
      <c r="J31" s="175">
        <f>'בית שיתופי-סלון ומטבחון נוספים'!U23</f>
        <v>0</v>
      </c>
    </row>
    <row r="32" spans="2:10" x14ac:dyDescent="0.25">
      <c r="B32" s="169"/>
      <c r="C32" s="176">
        <f>'תוכן עניינים'!B18</f>
        <v>5</v>
      </c>
      <c r="D32" s="177" t="str">
        <f>'תוכן עניינים'!C18</f>
        <v>ציוד מיוחד</v>
      </c>
      <c r="E32" s="175">
        <f>'ציוד מיוחד'!J24</f>
        <v>0</v>
      </c>
      <c r="F32" s="308" t="str">
        <f>IF(MAX('ציוד מיוחד'!K6:K24)&gt;0,"חריגות","")</f>
        <v/>
      </c>
      <c r="H32" s="172"/>
      <c r="I32" s="175">
        <f>'ציוד מיוחד'!P24</f>
        <v>0</v>
      </c>
      <c r="J32" s="175">
        <f>'ציוד מיוחד'!U24</f>
        <v>0</v>
      </c>
    </row>
    <row r="33" spans="2:10" x14ac:dyDescent="0.25">
      <c r="B33" s="169"/>
      <c r="C33" s="176">
        <f>'תוכן עניינים'!B19</f>
        <v>6</v>
      </c>
      <c r="D33" s="177" t="str">
        <f>'תוכן עניינים'!C19</f>
        <v>ציוד מתקנים אחרים</v>
      </c>
      <c r="E33" s="175">
        <f>'ציוד מתקנים אחרים'!L29</f>
        <v>0</v>
      </c>
      <c r="F33" s="309"/>
      <c r="H33" s="172"/>
      <c r="I33" s="175">
        <f>'ציוד מתקנים אחרים'!O29</f>
        <v>0</v>
      </c>
      <c r="J33" s="175">
        <f>'ציוד מתקנים אחרים'!T29</f>
        <v>0</v>
      </c>
    </row>
    <row r="34" spans="2:10" x14ac:dyDescent="0.25">
      <c r="B34" s="169"/>
      <c r="C34" s="176">
        <f>'ציוד נוסף'!A2</f>
        <v>7</v>
      </c>
      <c r="D34" s="177" t="str">
        <f>'ציוד נוסף'!B2</f>
        <v>ציוד נוסף שלא קיים בתקן</v>
      </c>
      <c r="E34" s="175">
        <f>'ציוד נוסף'!P29</f>
        <v>0</v>
      </c>
      <c r="F34" s="309"/>
      <c r="H34" s="172"/>
      <c r="I34" s="175">
        <f>'ציוד נוסף'!S29</f>
        <v>0</v>
      </c>
      <c r="J34" s="175">
        <f>'ציוד נוסף'!X29</f>
        <v>0</v>
      </c>
    </row>
    <row r="35" spans="2:10" x14ac:dyDescent="0.25">
      <c r="B35" s="169"/>
      <c r="C35" s="179"/>
      <c r="D35" s="180" t="s">
        <v>379</v>
      </c>
      <c r="E35" s="182">
        <f>SUM(E17:E34)</f>
        <v>0</v>
      </c>
      <c r="F35" s="19"/>
      <c r="H35" s="172"/>
      <c r="I35" s="182">
        <f>SUM(I17:I34)</f>
        <v>0</v>
      </c>
      <c r="J35" s="182">
        <f>SUM(J17:J34)</f>
        <v>0</v>
      </c>
    </row>
    <row r="36" spans="2:10" x14ac:dyDescent="0.25">
      <c r="B36" s="169"/>
      <c r="D36" s="9"/>
      <c r="E36" s="9"/>
      <c r="F36" s="183"/>
      <c r="H36" s="172"/>
    </row>
    <row r="37" spans="2:10" hidden="1" outlineLevel="1" x14ac:dyDescent="0.25">
      <c r="B37" s="169"/>
      <c r="C37" s="4" t="s">
        <v>380</v>
      </c>
      <c r="E37" s="9"/>
      <c r="F37" s="183"/>
      <c r="G37" s="9"/>
      <c r="H37" s="172"/>
    </row>
    <row r="38" spans="2:10" hidden="1" outlineLevel="1" x14ac:dyDescent="0.25">
      <c r="B38" s="169"/>
      <c r="C38" s="179"/>
      <c r="D38" s="184" t="s">
        <v>381</v>
      </c>
      <c r="E38" s="173" t="s">
        <v>382</v>
      </c>
      <c r="F38" s="174" t="s">
        <v>383</v>
      </c>
      <c r="G38" s="184"/>
      <c r="H38" s="172"/>
    </row>
    <row r="39" spans="2:10" ht="14.25" hidden="1" customHeight="1" outlineLevel="1" x14ac:dyDescent="0.25">
      <c r="B39" s="169"/>
      <c r="C39" s="179"/>
      <c r="D39" s="185" t="s">
        <v>384</v>
      </c>
      <c r="E39" s="186">
        <f>IF(G6="כן",50%,IF(G5="כן",90%,IF(G4&lt;=4,90%,IF(G4&lt;8,80%,70%))))</f>
        <v>0.9</v>
      </c>
      <c r="F39" s="174">
        <f>$E$35*E39</f>
        <v>0</v>
      </c>
      <c r="G39" s="184"/>
      <c r="H39" s="172"/>
    </row>
    <row r="40" spans="2:10" hidden="1" outlineLevel="1" x14ac:dyDescent="0.25">
      <c r="B40" s="169"/>
      <c r="C40" s="179"/>
      <c r="D40" s="184" t="s">
        <v>385</v>
      </c>
      <c r="E40" s="187">
        <f>100%-E39</f>
        <v>9.9999999999999978E-2</v>
      </c>
      <c r="F40" s="174">
        <f>$E$35*E40</f>
        <v>0</v>
      </c>
      <c r="G40" s="184"/>
      <c r="H40" s="172"/>
    </row>
    <row r="41" spans="2:10" hidden="1" outlineLevel="1" x14ac:dyDescent="0.25">
      <c r="B41" s="169"/>
      <c r="C41" s="179"/>
      <c r="D41" s="184" t="s">
        <v>386</v>
      </c>
      <c r="E41" s="187">
        <f>SUM(E39:E40)</f>
        <v>1</v>
      </c>
      <c r="F41" s="174">
        <f>SUM(F39:F40)</f>
        <v>0</v>
      </c>
      <c r="G41" s="184"/>
      <c r="H41" s="172"/>
    </row>
    <row r="42" spans="2:10" hidden="1" outlineLevel="1" x14ac:dyDescent="0.25">
      <c r="B42" s="169"/>
      <c r="D42" s="9"/>
      <c r="E42" s="9"/>
      <c r="F42" s="183"/>
      <c r="G42" s="9"/>
      <c r="H42" s="172"/>
    </row>
    <row r="43" spans="2:10" hidden="1" outlineLevel="1" x14ac:dyDescent="0.25">
      <c r="B43" s="169"/>
      <c r="D43" s="4" t="s">
        <v>387</v>
      </c>
      <c r="E43" s="9"/>
      <c r="F43" s="183"/>
      <c r="G43" s="9"/>
      <c r="H43" s="172"/>
    </row>
    <row r="44" spans="2:10" hidden="1" outlineLevel="1" x14ac:dyDescent="0.25">
      <c r="B44" s="169"/>
      <c r="C44" s="179"/>
      <c r="D44" s="184" t="s">
        <v>381</v>
      </c>
      <c r="E44" s="173" t="s">
        <v>382</v>
      </c>
      <c r="F44" s="174" t="s">
        <v>383</v>
      </c>
      <c r="G44" s="184"/>
      <c r="H44" s="172"/>
    </row>
    <row r="45" spans="2:10" ht="30" hidden="1" outlineLevel="1" x14ac:dyDescent="0.25">
      <c r="B45" s="169"/>
      <c r="C45" s="179"/>
      <c r="D45" s="185" t="s">
        <v>388</v>
      </c>
      <c r="E45" s="187" t="str">
        <f>IF($F$45=0,"",IF($F$39&lt;$F$45,"",ROUNDUP(F45/E$35,4)))</f>
        <v/>
      </c>
      <c r="F45" s="174">
        <f>G7</f>
        <v>700000</v>
      </c>
      <c r="G45" s="184"/>
      <c r="H45" s="172"/>
    </row>
    <row r="46" spans="2:10" hidden="1" outlineLevel="1" x14ac:dyDescent="0.25">
      <c r="B46" s="169"/>
      <c r="C46" s="179"/>
      <c r="D46" s="184" t="s">
        <v>385</v>
      </c>
      <c r="E46" s="187" t="str">
        <f>IF($F$45=0,"",IF($F$39&lt;$F$45,"",ROUNDDOWN(F46/E$35,4)))</f>
        <v/>
      </c>
      <c r="F46" s="174" t="str">
        <f>IF($F$39&lt;$F$45,"",(F47-F45))</f>
        <v/>
      </c>
      <c r="G46" s="184"/>
      <c r="H46" s="172"/>
    </row>
    <row r="47" spans="2:10" hidden="1" outlineLevel="1" x14ac:dyDescent="0.25">
      <c r="B47" s="169"/>
      <c r="C47" s="179"/>
      <c r="D47" s="180" t="s">
        <v>386</v>
      </c>
      <c r="E47" s="188" t="str">
        <f>IF($F$39&lt;$F$45,"",SUM(E45:E46))</f>
        <v/>
      </c>
      <c r="F47" s="174" t="str">
        <f>IF($F$39&lt;$F$45,"",E35)</f>
        <v/>
      </c>
      <c r="G47" s="184"/>
      <c r="H47" s="172"/>
    </row>
    <row r="48" spans="2:10" hidden="1" outlineLevel="1" x14ac:dyDescent="0.25">
      <c r="B48" s="169"/>
      <c r="D48" s="9"/>
      <c r="E48" s="189"/>
      <c r="F48" s="190"/>
      <c r="G48" s="9"/>
      <c r="H48" s="172"/>
    </row>
    <row r="49" spans="2:8" collapsed="1" x14ac:dyDescent="0.25">
      <c r="B49" s="169"/>
      <c r="C49" s="4" t="s">
        <v>389</v>
      </c>
      <c r="E49" s="9"/>
      <c r="F49" s="183"/>
      <c r="G49" s="9"/>
      <c r="H49" s="172"/>
    </row>
    <row r="50" spans="2:8" x14ac:dyDescent="0.25">
      <c r="B50" s="169"/>
      <c r="C50" s="4" t="s">
        <v>390</v>
      </c>
      <c r="E50" s="4"/>
      <c r="F50" s="201"/>
      <c r="G50" s="9"/>
      <c r="H50" s="172"/>
    </row>
    <row r="51" spans="2:8" x14ac:dyDescent="0.25">
      <c r="B51" s="169"/>
      <c r="C51" s="179"/>
      <c r="D51" s="180" t="s">
        <v>381</v>
      </c>
      <c r="E51" s="191" t="s">
        <v>382</v>
      </c>
      <c r="F51" s="181" t="s">
        <v>383</v>
      </c>
      <c r="G51" s="184"/>
      <c r="H51" s="172"/>
    </row>
    <row r="52" spans="2:8" ht="29.25" x14ac:dyDescent="0.25">
      <c r="B52" s="169"/>
      <c r="C52" s="179"/>
      <c r="D52" s="202" t="s">
        <v>384</v>
      </c>
      <c r="E52" s="188" t="str">
        <f>IF(F52=0,"",ROUNDUP(F52/E$35,4))</f>
        <v/>
      </c>
      <c r="F52" s="181">
        <f>MIN(F39,F45)</f>
        <v>0</v>
      </c>
      <c r="G52" s="180"/>
      <c r="H52" s="172"/>
    </row>
    <row r="53" spans="2:8" x14ac:dyDescent="0.25">
      <c r="B53" s="169"/>
      <c r="C53" s="179"/>
      <c r="D53" s="180" t="s">
        <v>385</v>
      </c>
      <c r="E53" s="188" t="str">
        <f>IF(F53=0,"",ROUNDDOWN(F53/E$35,4))</f>
        <v/>
      </c>
      <c r="F53" s="181">
        <f>F54-F52</f>
        <v>0</v>
      </c>
      <c r="G53" s="184"/>
      <c r="H53" s="172"/>
    </row>
    <row r="54" spans="2:8" x14ac:dyDescent="0.25">
      <c r="B54" s="169"/>
      <c r="C54" s="179"/>
      <c r="D54" s="180" t="s">
        <v>386</v>
      </c>
      <c r="E54" s="188" t="str">
        <f>IF(F54=0,"",SUM(E52:E53))</f>
        <v/>
      </c>
      <c r="F54" s="181">
        <f>E35</f>
        <v>0</v>
      </c>
      <c r="G54" s="184"/>
      <c r="H54" s="172"/>
    </row>
    <row r="55" spans="2:8" x14ac:dyDescent="0.25">
      <c r="B55" s="169"/>
      <c r="C55" s="19" t="str">
        <f>IF(('שאלון למילוי הגוף-חובה'!D30+'שאלון למילוי הגוף-חובה'!D33)&lt;1,"יש למלא את מספר החדרים","")</f>
        <v/>
      </c>
      <c r="D55" s="192"/>
      <c r="H55" s="172"/>
    </row>
    <row r="56" spans="2:8" x14ac:dyDescent="0.25">
      <c r="B56" s="169"/>
      <c r="C56" s="19" t="str">
        <f>IF('שאלון למילוי הגוף-חובה'!D36&lt;1,"יש למלא את מספר חדרי השינה","")</f>
        <v/>
      </c>
      <c r="D56" s="192"/>
      <c r="H56" s="172"/>
    </row>
    <row r="57" spans="2:8" x14ac:dyDescent="0.25">
      <c r="B57" s="193"/>
      <c r="C57" s="194" t="str">
        <f>IF('שאלון למילוי הגוף-חובה'!D37&lt;1,"יש למלא את מספר הדיירים","")</f>
        <v/>
      </c>
      <c r="D57" s="195"/>
      <c r="E57" s="195"/>
      <c r="F57" s="195"/>
      <c r="G57" s="195"/>
      <c r="H57" s="257"/>
    </row>
  </sheetData>
  <sheetProtection algorithmName="SHA-512" hashValue="PEdG2xHsE/jGppj1LuJU3wMZYt71h4VXHARf47NaychKbEEkjwjSjMc7Bt2cPGUZBWn6mM9Dta8P4fO5iB7Kkg==" saltValue="G4Qypd9Og2Ay6dSH5mSMIA==" spinCount="100000" sheet="1" formatCells="0" formatColumns="0" formatRows="0"/>
  <dataConsolidate/>
  <pageMargins left="0.70866141732283472" right="0.70866141732283472" top="0.74803149606299213" bottom="0.74803149606299213" header="0.31496062992125984" footer="0.31496062992125984"/>
  <pageSetup paperSize="9" scale="67"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74E3F86D58734C7AA1EEF000005FC8B6" ma:contentTypeVersion="1" ma:contentTypeDescription="צור מסמך חדש." ma:contentTypeScope="" ma:versionID="ae5ff37499b070873e287761911273f1">
  <xsd:schema xmlns:xsd="http://www.w3.org/2001/XMLSchema" xmlns:xs="http://www.w3.org/2001/XMLSchema" xmlns:p="http://schemas.microsoft.com/office/2006/metadata/properties" xmlns:ns1="http://schemas.microsoft.com/sharepoint/v3" targetNamespace="http://schemas.microsoft.com/office/2006/metadata/properties" ma:root="true" ma:fieldsID="08da46b6ae811ef844734bd8bf08ae2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מתזמן תאריך התחלה" ma:description="" ma:internalName="PublishingStartDate">
      <xsd:simpleType>
        <xsd:restriction base="dms:Unknown"/>
      </xsd:simpleType>
    </xsd:element>
    <xsd:element name="PublishingExpirationDate" ma:index="9" nillable="true" ma:displayName="מתזמן תאריך סיום"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8866882-8361-4B9F-8F1D-BB20E3189A79}"/>
</file>

<file path=customXml/itemProps2.xml><?xml version="1.0" encoding="utf-8"?>
<ds:datastoreItem xmlns:ds="http://schemas.openxmlformats.org/officeDocument/2006/customXml" ds:itemID="{38CF2E03-D6E6-4766-A720-E85758E11A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13</vt:i4>
      </vt:variant>
      <vt:variant>
        <vt:lpstr>טווחים בעלי שם</vt:lpstr>
      </vt:variant>
      <vt:variant>
        <vt:i4>3</vt:i4>
      </vt:variant>
    </vt:vector>
  </HeadingPairs>
  <TitlesOfParts>
    <vt:vector size="16" baseType="lpstr">
      <vt:lpstr>פירוט הסתרות</vt:lpstr>
      <vt:lpstr>נוסחאות</vt:lpstr>
      <vt:lpstr>פתיח </vt:lpstr>
      <vt:lpstr>תוכן עניינים</vt:lpstr>
      <vt:lpstr>שאלון למילוי הגוף-חובה</vt:lpstr>
      <vt:lpstr>חדרי שינה</vt:lpstr>
      <vt:lpstr>דירה קהילתית-חללים משותפים </vt:lpstr>
      <vt:lpstr>בית שיתופי-חללים משותפים</vt:lpstr>
      <vt:lpstr>בית שיתופי-סלון ומטבחון נוספים</vt:lpstr>
      <vt:lpstr>ציוד מיוחד</vt:lpstr>
      <vt:lpstr>ציוד מתקנים אחרים</vt:lpstr>
      <vt:lpstr>ציוד נוסף</vt:lpstr>
      <vt:lpstr>סיכום לוועדה</vt:lpstr>
      <vt:lpstr>'סיכום לוועדה'!WPrint_Area_W</vt:lpstr>
      <vt:lpstr>'פתיח '!WPrint_Area_W</vt:lpstr>
      <vt:lpstr>נוסחאות!WPrint_TitlesW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Vadim</dc:creator>
  <cp:keywords/>
  <dc:description/>
  <cp:lastModifiedBy>אביטל גולנזר אפרתי</cp:lastModifiedBy>
  <cp:revision/>
  <cp:lastPrinted>2026-09-08T06:04:19Z</cp:lastPrinted>
  <dcterms:created xsi:type="dcterms:W3CDTF">2018-03-26T06:46:28Z</dcterms:created>
  <dcterms:modified xsi:type="dcterms:W3CDTF">2026-09-12T17:02:13Z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0x01010074E3F86D58734C7AA1EEF000005FC8B6</vt:lpwstr>
  </property>
  <property fmtid="{D5CDD505-2E9C-101B-9397-08002B2CF9AE}" pid="4" name="Order">
    <vt:r8>12500</vt:r8>
  </property>
  <property fmtid="{D5CDD505-2E9C-101B-9397-08002B2CF9AE}" pid="5" name="TemplateUrl">
    <vt:lpwstr/>
  </property>
  <property fmtid="{D5CDD505-2E9C-101B-9397-08002B2CF9AE}" pid="6" name="_SourceUrl">
    <vt:lpwstr/>
  </property>
  <property fmtid="{D5CDD505-2E9C-101B-9397-08002B2CF9AE}" pid="7" name="_SharedFileIndex">
    <vt:lpwstr/>
  </property>
  <property fmtid="{D5CDD505-2E9C-101B-9397-08002B2CF9AE}" pid="8" name="xd_Signature">
    <vt:bool>false</vt:bool>
  </property>
  <property fmtid="{D5CDD505-2E9C-101B-9397-08002B2CF9AE}" pid="9" name="xd_ProgID">
    <vt:lpwstr/>
  </property>
</Properties>
</file>