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AF\AppData\Local\Microsoft\Windows\INetCache\Content.Outlook\PWB10IH8\"/>
    </mc:Choice>
  </mc:AlternateContent>
  <bookViews>
    <workbookView xWindow="0" yWindow="0" windowWidth="19200" windowHeight="6800" tabRatio="584" activeTab="3"/>
  </bookViews>
  <sheets>
    <sheet name="פתיח" sheetId="1" r:id="rId1"/>
    <sheet name="שאלון למילוי מגיש הבקשה - חובה" sheetId="2" r:id="rId2"/>
    <sheet name="תוכן עניינים" sheetId="3" r:id="rId3"/>
    <sheet name="ציוד בריכה" sheetId="4" r:id="rId4"/>
    <sheet name="ציוד הידרותרפיה " sheetId="13" r:id="rId5"/>
    <sheet name="ציוד אבחון" sheetId="12" r:id="rId6"/>
    <sheet name="ציוד מקלחונים" sheetId="11" r:id="rId7"/>
    <sheet name="ציוד כללי" sheetId="6" r:id="rId8"/>
    <sheet name="ציוד נוסף" sheetId="7" r:id="rId9"/>
    <sheet name="סיכום בקשת הגוף" sheetId="8" r:id="rId10"/>
    <sheet name="סיכום לוועדה" sheetId="9" r:id="rId11"/>
  </sheets>
  <definedNames>
    <definedName name="BedroomType" localSheetId="5">#REF!</definedName>
    <definedName name="BedroomType" localSheetId="4">#REF!</definedName>
    <definedName name="BedroomType" localSheetId="7">#REF!</definedName>
    <definedName name="BedroomType" localSheetId="6">#REF!</definedName>
    <definedName name="BedroomType" localSheetId="8">#REF!</definedName>
    <definedName name="BedroomType">#REF!</definedName>
  </definedNames>
  <calcPr calcId="191029"/>
</workbook>
</file>

<file path=xl/calcChain.xml><?xml version="1.0" encoding="utf-8"?>
<calcChain xmlns="http://schemas.openxmlformats.org/spreadsheetml/2006/main">
  <c r="M4" i="7" l="1"/>
  <c r="M5" i="7" l="1"/>
  <c r="C2" i="2"/>
  <c r="C1" i="8"/>
  <c r="C1" i="9"/>
  <c r="A1" i="7"/>
  <c r="A1" i="6"/>
  <c r="A1" i="11"/>
  <c r="A1" i="12"/>
  <c r="A1" i="13"/>
  <c r="A1" i="4"/>
  <c r="B7" i="3"/>
  <c r="N18" i="6" l="1"/>
  <c r="O18" i="6" s="1"/>
  <c r="P18" i="6" s="1"/>
  <c r="K18" i="6"/>
  <c r="I18" i="6"/>
  <c r="J18" i="6" s="1"/>
  <c r="F18" i="6"/>
  <c r="E25" i="11" l="1"/>
  <c r="E22" i="11"/>
  <c r="E41" i="2" l="1"/>
  <c r="E39" i="2"/>
  <c r="E33" i="2"/>
  <c r="F28" i="4" l="1"/>
  <c r="F29" i="4"/>
  <c r="F30" i="4"/>
  <c r="F31" i="4"/>
  <c r="F22" i="4"/>
  <c r="F23" i="4"/>
  <c r="F24" i="4"/>
  <c r="F7" i="4"/>
  <c r="F8" i="4"/>
  <c r="F10" i="4"/>
  <c r="F11" i="4"/>
  <c r="F12" i="4"/>
  <c r="F13" i="4"/>
  <c r="F14" i="4"/>
  <c r="F15" i="4"/>
  <c r="F16" i="4"/>
  <c r="F17" i="4"/>
  <c r="F18" i="4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6" i="12"/>
  <c r="F7" i="12"/>
  <c r="F8" i="12"/>
  <c r="F9" i="12"/>
  <c r="F25" i="6"/>
  <c r="F26" i="6"/>
  <c r="F27" i="6"/>
  <c r="F28" i="6"/>
  <c r="F29" i="6"/>
  <c r="F30" i="6"/>
  <c r="F31" i="6"/>
  <c r="F32" i="6"/>
  <c r="F19" i="6"/>
  <c r="F20" i="6"/>
  <c r="F21" i="6"/>
  <c r="F13" i="6"/>
  <c r="F14" i="6"/>
  <c r="F7" i="6"/>
  <c r="F8" i="6"/>
  <c r="F9" i="6"/>
  <c r="N18" i="4" l="1"/>
  <c r="O18" i="4" s="1"/>
  <c r="P18" i="4" s="1"/>
  <c r="I18" i="4"/>
  <c r="I17" i="4"/>
  <c r="D9" i="4"/>
  <c r="F9" i="4" s="1"/>
  <c r="N9" i="4"/>
  <c r="E35" i="2"/>
  <c r="N17" i="4" l="1"/>
  <c r="O17" i="4" s="1"/>
  <c r="P17" i="4" s="1"/>
  <c r="J17" i="4"/>
  <c r="J18" i="4"/>
  <c r="K17" i="4"/>
  <c r="K18" i="4"/>
  <c r="O9" i="4"/>
  <c r="I9" i="4"/>
  <c r="K9" i="4"/>
  <c r="I7" i="13"/>
  <c r="N7" i="13"/>
  <c r="O7" i="13" s="1"/>
  <c r="P7" i="13" s="1"/>
  <c r="J9" i="4" l="1"/>
  <c r="P9" i="4"/>
  <c r="J7" i="13"/>
  <c r="K7" i="13"/>
  <c r="E20" i="11"/>
  <c r="E21" i="11"/>
  <c r="E19" i="11"/>
  <c r="E18" i="11"/>
  <c r="E17" i="11"/>
  <c r="E16" i="11"/>
  <c r="E7" i="11" l="1"/>
  <c r="E8" i="11"/>
  <c r="E9" i="11"/>
  <c r="E10" i="11"/>
  <c r="E6" i="11"/>
  <c r="E11" i="11"/>
  <c r="D7" i="9"/>
  <c r="D6" i="9"/>
  <c r="C11" i="9"/>
  <c r="B11" i="9"/>
  <c r="C10" i="9"/>
  <c r="B10" i="9"/>
  <c r="C9" i="9"/>
  <c r="B9" i="9"/>
  <c r="C11" i="8"/>
  <c r="B11" i="8"/>
  <c r="B10" i="8"/>
  <c r="B9" i="8"/>
  <c r="B15" i="9"/>
  <c r="B16" i="9"/>
  <c r="B17" i="9"/>
  <c r="B18" i="9"/>
  <c r="B19" i="9"/>
  <c r="B14" i="9"/>
  <c r="B15" i="8"/>
  <c r="B16" i="8"/>
  <c r="B17" i="8"/>
  <c r="B18" i="8"/>
  <c r="B19" i="8"/>
  <c r="B14" i="8"/>
  <c r="I24" i="4"/>
  <c r="K24" i="4" l="1"/>
  <c r="N24" i="4"/>
  <c r="O24" i="4" s="1"/>
  <c r="P24" i="4" s="1"/>
  <c r="J24" i="4"/>
  <c r="I6" i="12" l="1"/>
  <c r="N6" i="12"/>
  <c r="O6" i="12" s="1"/>
  <c r="I7" i="12"/>
  <c r="J7" i="12" s="1"/>
  <c r="K8" i="12"/>
  <c r="K9" i="12"/>
  <c r="I12" i="13"/>
  <c r="I13" i="13"/>
  <c r="I14" i="13"/>
  <c r="I15" i="13"/>
  <c r="I16" i="13"/>
  <c r="I17" i="13"/>
  <c r="I18" i="13"/>
  <c r="I19" i="13"/>
  <c r="K20" i="13"/>
  <c r="N20" i="13"/>
  <c r="O20" i="13" s="1"/>
  <c r="I6" i="13"/>
  <c r="K8" i="13"/>
  <c r="K9" i="13"/>
  <c r="K10" i="13"/>
  <c r="I11" i="13"/>
  <c r="B2" i="13"/>
  <c r="B21" i="13" s="1"/>
  <c r="A2" i="13"/>
  <c r="K5" i="13"/>
  <c r="F5" i="13"/>
  <c r="F21" i="13" s="1"/>
  <c r="Q21" i="13" l="1"/>
  <c r="K21" i="13"/>
  <c r="K14" i="13"/>
  <c r="N9" i="12"/>
  <c r="O9" i="12" s="1"/>
  <c r="P9" i="12" s="1"/>
  <c r="P6" i="12"/>
  <c r="J6" i="12"/>
  <c r="N17" i="13"/>
  <c r="O17" i="13" s="1"/>
  <c r="P17" i="13" s="1"/>
  <c r="N10" i="13"/>
  <c r="O10" i="13" s="1"/>
  <c r="P10" i="13" s="1"/>
  <c r="K19" i="13"/>
  <c r="K17" i="13"/>
  <c r="J16" i="13"/>
  <c r="I10" i="13"/>
  <c r="J10" i="13" s="1"/>
  <c r="J19" i="13"/>
  <c r="N15" i="13"/>
  <c r="O15" i="13" s="1"/>
  <c r="P15" i="13" s="1"/>
  <c r="J17" i="13"/>
  <c r="J14" i="13"/>
  <c r="J18" i="13"/>
  <c r="N13" i="13"/>
  <c r="O13" i="13" s="1"/>
  <c r="P13" i="13" s="1"/>
  <c r="N19" i="13"/>
  <c r="O19" i="13" s="1"/>
  <c r="P19" i="13" s="1"/>
  <c r="N14" i="13"/>
  <c r="O14" i="13" s="1"/>
  <c r="P14" i="13" s="1"/>
  <c r="K13" i="13"/>
  <c r="N5" i="13"/>
  <c r="O5" i="13" s="1"/>
  <c r="N9" i="13"/>
  <c r="O9" i="13" s="1"/>
  <c r="P9" i="13" s="1"/>
  <c r="N6" i="13"/>
  <c r="O6" i="13" s="1"/>
  <c r="P6" i="13" s="1"/>
  <c r="N16" i="13"/>
  <c r="O16" i="13" s="1"/>
  <c r="P16" i="13" s="1"/>
  <c r="J13" i="13"/>
  <c r="N11" i="13"/>
  <c r="O11" i="13" s="1"/>
  <c r="P11" i="13" s="1"/>
  <c r="N8" i="13"/>
  <c r="O8" i="13" s="1"/>
  <c r="P8" i="13" s="1"/>
  <c r="K6" i="13"/>
  <c r="K16" i="13"/>
  <c r="J15" i="13"/>
  <c r="P20" i="13"/>
  <c r="J11" i="13"/>
  <c r="I9" i="13"/>
  <c r="J9" i="13" s="1"/>
  <c r="I8" i="13"/>
  <c r="J8" i="13" s="1"/>
  <c r="J6" i="13"/>
  <c r="N18" i="13"/>
  <c r="O18" i="13" s="1"/>
  <c r="P18" i="13" s="1"/>
  <c r="N12" i="13"/>
  <c r="O12" i="13" s="1"/>
  <c r="P12" i="13" s="1"/>
  <c r="J12" i="13"/>
  <c r="N8" i="12"/>
  <c r="O8" i="12" s="1"/>
  <c r="P8" i="12" s="1"/>
  <c r="N7" i="12"/>
  <c r="O7" i="12" s="1"/>
  <c r="P7" i="12" s="1"/>
  <c r="K7" i="12"/>
  <c r="K6" i="12"/>
  <c r="I9" i="12"/>
  <c r="J9" i="12" s="1"/>
  <c r="I8" i="12"/>
  <c r="J8" i="12" s="1"/>
  <c r="I20" i="13"/>
  <c r="J20" i="13" s="1"/>
  <c r="K18" i="13"/>
  <c r="K15" i="13"/>
  <c r="K12" i="13"/>
  <c r="K11" i="13"/>
  <c r="I5" i="13"/>
  <c r="I21" i="13" l="1"/>
  <c r="O21" i="13"/>
  <c r="C15" i="9" s="1"/>
  <c r="P5" i="13"/>
  <c r="J5" i="13"/>
  <c r="C15" i="8"/>
  <c r="P21" i="13" l="1"/>
  <c r="J21" i="13"/>
  <c r="I5" i="12" l="1"/>
  <c r="I10" i="12" s="1"/>
  <c r="F5" i="12"/>
  <c r="F10" i="12" s="1"/>
  <c r="J5" i="12" l="1"/>
  <c r="C16" i="8"/>
  <c r="K5" i="12"/>
  <c r="N5" i="12"/>
  <c r="O5" i="12" s="1"/>
  <c r="O10" i="12" s="1"/>
  <c r="I28" i="4"/>
  <c r="I29" i="4"/>
  <c r="I30" i="4"/>
  <c r="I8" i="4"/>
  <c r="I10" i="4"/>
  <c r="I11" i="4"/>
  <c r="I12" i="4"/>
  <c r="I13" i="4"/>
  <c r="I14" i="4"/>
  <c r="B2" i="11"/>
  <c r="B31" i="11" s="1"/>
  <c r="I14" i="11"/>
  <c r="N14" i="11"/>
  <c r="O14" i="11" s="1"/>
  <c r="I15" i="11"/>
  <c r="N15" i="11"/>
  <c r="O15" i="11" s="1"/>
  <c r="K16" i="11"/>
  <c r="I17" i="11"/>
  <c r="F17" i="11"/>
  <c r="F16" i="11"/>
  <c r="F15" i="11"/>
  <c r="F14" i="11"/>
  <c r="Q12" i="11"/>
  <c r="K12" i="11"/>
  <c r="I13" i="11"/>
  <c r="N13" i="11" s="1"/>
  <c r="Q31" i="11" l="1"/>
  <c r="K31" i="11"/>
  <c r="K12" i="4"/>
  <c r="N29" i="4"/>
  <c r="O29" i="4" s="1"/>
  <c r="J17" i="11"/>
  <c r="P5" i="12"/>
  <c r="C16" i="9"/>
  <c r="K14" i="4"/>
  <c r="K10" i="4"/>
  <c r="K29" i="4"/>
  <c r="N28" i="4"/>
  <c r="O28" i="4" s="1"/>
  <c r="K30" i="4"/>
  <c r="K28" i="4"/>
  <c r="K14" i="11"/>
  <c r="N13" i="4"/>
  <c r="O13" i="4" s="1"/>
  <c r="N11" i="4"/>
  <c r="O11" i="4" s="1"/>
  <c r="N10" i="4"/>
  <c r="O10" i="4" s="1"/>
  <c r="K13" i="4"/>
  <c r="K11" i="4"/>
  <c r="K8" i="4"/>
  <c r="N14" i="4"/>
  <c r="O14" i="4" s="1"/>
  <c r="N12" i="4"/>
  <c r="O12" i="4" s="1"/>
  <c r="N8" i="4"/>
  <c r="O8" i="4" s="1"/>
  <c r="J14" i="11"/>
  <c r="N17" i="11"/>
  <c r="O17" i="11" s="1"/>
  <c r="P17" i="11" s="1"/>
  <c r="K17" i="11"/>
  <c r="P15" i="11"/>
  <c r="N16" i="11"/>
  <c r="O16" i="11" s="1"/>
  <c r="P16" i="11" s="1"/>
  <c r="J15" i="11"/>
  <c r="I16" i="11"/>
  <c r="J16" i="11" s="1"/>
  <c r="P14" i="11"/>
  <c r="K15" i="11"/>
  <c r="F21" i="11"/>
  <c r="K21" i="11"/>
  <c r="N21" i="11" l="1"/>
  <c r="O21" i="11" s="1"/>
  <c r="P21" i="11" s="1"/>
  <c r="I21" i="11"/>
  <c r="J21" i="11" s="1"/>
  <c r="I7" i="11"/>
  <c r="I8" i="11"/>
  <c r="I9" i="11"/>
  <c r="I10" i="11"/>
  <c r="I11" i="11"/>
  <c r="I18" i="11"/>
  <c r="I19" i="11"/>
  <c r="I20" i="11"/>
  <c r="I22" i="11"/>
  <c r="I23" i="11" l="1"/>
  <c r="N22" i="11"/>
  <c r="O22" i="11" s="1"/>
  <c r="N20" i="11"/>
  <c r="O20" i="11" s="1"/>
  <c r="N19" i="11"/>
  <c r="O19" i="11" s="1"/>
  <c r="K22" i="11"/>
  <c r="N18" i="11"/>
  <c r="O18" i="11" s="1"/>
  <c r="K19" i="11"/>
  <c r="K20" i="11"/>
  <c r="K18" i="11"/>
  <c r="K9" i="11"/>
  <c r="K7" i="11"/>
  <c r="K10" i="11"/>
  <c r="K8" i="11"/>
  <c r="K11" i="11"/>
  <c r="O23" i="11" l="1"/>
  <c r="J13" i="4"/>
  <c r="P13" i="4"/>
  <c r="J14" i="4"/>
  <c r="P14" i="4"/>
  <c r="J28" i="4"/>
  <c r="P28" i="4"/>
  <c r="J10" i="4"/>
  <c r="P10" i="4"/>
  <c r="J11" i="4"/>
  <c r="P11" i="4"/>
  <c r="J8" i="4"/>
  <c r="P8" i="4"/>
  <c r="J12" i="4"/>
  <c r="P12" i="4"/>
  <c r="J29" i="4"/>
  <c r="P29" i="4"/>
  <c r="B2" i="12"/>
  <c r="B10" i="12" s="1"/>
  <c r="A2" i="12"/>
  <c r="Q10" i="12" l="1"/>
  <c r="K10" i="12"/>
  <c r="Q30" i="11"/>
  <c r="K30" i="11"/>
  <c r="N29" i="11"/>
  <c r="O29" i="11" s="1"/>
  <c r="F29" i="11"/>
  <c r="N28" i="11"/>
  <c r="O28" i="11" s="1"/>
  <c r="F28" i="11"/>
  <c r="N27" i="11"/>
  <c r="O27" i="11" s="1"/>
  <c r="F27" i="11"/>
  <c r="N26" i="11"/>
  <c r="O26" i="11" s="1"/>
  <c r="F26" i="11"/>
  <c r="N25" i="11"/>
  <c r="F25" i="11"/>
  <c r="K24" i="11"/>
  <c r="I24" i="11"/>
  <c r="N24" i="11" s="1"/>
  <c r="Q23" i="11"/>
  <c r="K23" i="11"/>
  <c r="F22" i="11"/>
  <c r="F20" i="11"/>
  <c r="F19" i="11"/>
  <c r="F18" i="11"/>
  <c r="F11" i="11"/>
  <c r="F10" i="11"/>
  <c r="J10" i="11" s="1"/>
  <c r="N9" i="11"/>
  <c r="O9" i="11" s="1"/>
  <c r="F9" i="11"/>
  <c r="J9" i="11" s="1"/>
  <c r="F8" i="11"/>
  <c r="J8" i="11" s="1"/>
  <c r="N7" i="11"/>
  <c r="O7" i="11" s="1"/>
  <c r="F7" i="11"/>
  <c r="J7" i="11" s="1"/>
  <c r="I6" i="11"/>
  <c r="I12" i="11" s="1"/>
  <c r="F6" i="11"/>
  <c r="I5" i="11"/>
  <c r="N5" i="11" s="1"/>
  <c r="A2" i="11"/>
  <c r="Q22" i="6"/>
  <c r="K22" i="6"/>
  <c r="I21" i="6"/>
  <c r="I20" i="6"/>
  <c r="I19" i="6"/>
  <c r="I17" i="6"/>
  <c r="F17" i="6"/>
  <c r="F22" i="6" s="1"/>
  <c r="I16" i="6"/>
  <c r="N16" i="6" s="1"/>
  <c r="F30" i="11" l="1"/>
  <c r="I22" i="6"/>
  <c r="F23" i="11"/>
  <c r="F12" i="11"/>
  <c r="J11" i="11"/>
  <c r="J20" i="6"/>
  <c r="J21" i="6"/>
  <c r="J19" i="6"/>
  <c r="P22" i="11"/>
  <c r="J22" i="11"/>
  <c r="P20" i="11"/>
  <c r="J20" i="11"/>
  <c r="P18" i="11"/>
  <c r="J18" i="11"/>
  <c r="J19" i="11"/>
  <c r="P19" i="11"/>
  <c r="K17" i="6"/>
  <c r="K21" i="6"/>
  <c r="K19" i="6"/>
  <c r="K20" i="6"/>
  <c r="N19" i="6"/>
  <c r="O19" i="6" s="1"/>
  <c r="P19" i="6" s="1"/>
  <c r="K26" i="11"/>
  <c r="I27" i="11"/>
  <c r="J27" i="11" s="1"/>
  <c r="K27" i="11"/>
  <c r="P29" i="11"/>
  <c r="I26" i="11"/>
  <c r="J26" i="11" s="1"/>
  <c r="P27" i="11"/>
  <c r="N6" i="11"/>
  <c r="O6" i="11" s="1"/>
  <c r="P28" i="11"/>
  <c r="P9" i="11"/>
  <c r="N10" i="11"/>
  <c r="O10" i="11" s="1"/>
  <c r="P10" i="11" s="1"/>
  <c r="P26" i="11"/>
  <c r="I28" i="11"/>
  <c r="J28" i="11" s="1"/>
  <c r="O25" i="11"/>
  <c r="O30" i="11" s="1"/>
  <c r="K6" i="11"/>
  <c r="N8" i="11"/>
  <c r="O8" i="11" s="1"/>
  <c r="P8" i="11" s="1"/>
  <c r="I25" i="11"/>
  <c r="K28" i="11"/>
  <c r="I29" i="11"/>
  <c r="J29" i="11" s="1"/>
  <c r="K25" i="11"/>
  <c r="K29" i="11"/>
  <c r="J6" i="11"/>
  <c r="P7" i="11"/>
  <c r="N11" i="11"/>
  <c r="O11" i="11" s="1"/>
  <c r="J17" i="6"/>
  <c r="N17" i="6"/>
  <c r="O17" i="6" s="1"/>
  <c r="N20" i="6"/>
  <c r="O20" i="6" s="1"/>
  <c r="P20" i="6" s="1"/>
  <c r="N21" i="6"/>
  <c r="O21" i="6" s="1"/>
  <c r="I5" i="6"/>
  <c r="N5" i="6" s="1"/>
  <c r="F6" i="6"/>
  <c r="F10" i="6" s="1"/>
  <c r="I6" i="6"/>
  <c r="I30" i="11" l="1"/>
  <c r="J30" i="11" s="1"/>
  <c r="O12" i="11"/>
  <c r="O22" i="6"/>
  <c r="P22" i="6" s="1"/>
  <c r="P25" i="11"/>
  <c r="J25" i="11"/>
  <c r="P21" i="6"/>
  <c r="J12" i="11"/>
  <c r="F31" i="11"/>
  <c r="P6" i="11"/>
  <c r="P11" i="11"/>
  <c r="J22" i="6"/>
  <c r="N6" i="6"/>
  <c r="O6" i="6" s="1"/>
  <c r="J10" i="12"/>
  <c r="P10" i="12"/>
  <c r="P30" i="11"/>
  <c r="J23" i="11"/>
  <c r="P17" i="6"/>
  <c r="J6" i="6"/>
  <c r="K6" i="6"/>
  <c r="D30" i="9"/>
  <c r="E7" i="9"/>
  <c r="E6" i="9"/>
  <c r="C10" i="8"/>
  <c r="C9" i="8"/>
  <c r="Q29" i="7"/>
  <c r="O28" i="7"/>
  <c r="M28" i="7"/>
  <c r="I28" i="7"/>
  <c r="P27" i="7"/>
  <c r="O27" i="7"/>
  <c r="M27" i="7"/>
  <c r="I27" i="7"/>
  <c r="P26" i="7"/>
  <c r="O26" i="7"/>
  <c r="M26" i="7"/>
  <c r="I26" i="7"/>
  <c r="P25" i="7"/>
  <c r="O25" i="7"/>
  <c r="M25" i="7"/>
  <c r="I25" i="7"/>
  <c r="P24" i="7"/>
  <c r="O24" i="7"/>
  <c r="M24" i="7"/>
  <c r="I24" i="7"/>
  <c r="P23" i="7"/>
  <c r="O23" i="7"/>
  <c r="M23" i="7"/>
  <c r="I23" i="7"/>
  <c r="P22" i="7"/>
  <c r="O22" i="7"/>
  <c r="M22" i="7"/>
  <c r="I22" i="7"/>
  <c r="P21" i="7"/>
  <c r="O21" i="7"/>
  <c r="M21" i="7"/>
  <c r="I21" i="7"/>
  <c r="P20" i="7"/>
  <c r="O20" i="7"/>
  <c r="M20" i="7"/>
  <c r="I20" i="7"/>
  <c r="P19" i="7"/>
  <c r="O19" i="7"/>
  <c r="M19" i="7"/>
  <c r="I19" i="7"/>
  <c r="P18" i="7"/>
  <c r="O18" i="7"/>
  <c r="M18" i="7"/>
  <c r="I18" i="7"/>
  <c r="P17" i="7"/>
  <c r="O17" i="7"/>
  <c r="M17" i="7"/>
  <c r="I17" i="7"/>
  <c r="P16" i="7"/>
  <c r="O16" i="7"/>
  <c r="M16" i="7"/>
  <c r="I16" i="7"/>
  <c r="P15" i="7"/>
  <c r="O15" i="7"/>
  <c r="M15" i="7"/>
  <c r="I15" i="7"/>
  <c r="P14" i="7"/>
  <c r="O14" i="7"/>
  <c r="M14" i="7"/>
  <c r="I14" i="7"/>
  <c r="P13" i="7"/>
  <c r="O13" i="7"/>
  <c r="M13" i="7"/>
  <c r="I13" i="7"/>
  <c r="P12" i="7"/>
  <c r="O12" i="7"/>
  <c r="M12" i="7"/>
  <c r="I12" i="7"/>
  <c r="P11" i="7"/>
  <c r="O11" i="7"/>
  <c r="M11" i="7"/>
  <c r="I11" i="7"/>
  <c r="P10" i="7"/>
  <c r="O10" i="7"/>
  <c r="M10" i="7"/>
  <c r="I10" i="7"/>
  <c r="P9" i="7"/>
  <c r="O9" i="7"/>
  <c r="M9" i="7"/>
  <c r="I9" i="7"/>
  <c r="P8" i="7"/>
  <c r="O8" i="7"/>
  <c r="M8" i="7"/>
  <c r="I8" i="7"/>
  <c r="P7" i="7"/>
  <c r="O7" i="7"/>
  <c r="M7" i="7"/>
  <c r="I7" i="7"/>
  <c r="O6" i="7"/>
  <c r="M6" i="7"/>
  <c r="P6" i="7" s="1"/>
  <c r="I6" i="7"/>
  <c r="O5" i="7"/>
  <c r="I5" i="7"/>
  <c r="O4" i="7"/>
  <c r="I4" i="7"/>
  <c r="B2" i="7"/>
  <c r="A2" i="7"/>
  <c r="Q38" i="6"/>
  <c r="K38" i="6"/>
  <c r="F37" i="6"/>
  <c r="F36" i="6"/>
  <c r="K35" i="6"/>
  <c r="F35" i="6"/>
  <c r="I34" i="6"/>
  <c r="N34" i="6" s="1"/>
  <c r="Q33" i="6"/>
  <c r="K33" i="6"/>
  <c r="I32" i="6"/>
  <c r="N31" i="6"/>
  <c r="O31" i="6" s="1"/>
  <c r="N30" i="6"/>
  <c r="O30" i="6" s="1"/>
  <c r="K29" i="6"/>
  <c r="I28" i="6"/>
  <c r="N27" i="6"/>
  <c r="O27" i="6" s="1"/>
  <c r="N26" i="6"/>
  <c r="O26" i="6" s="1"/>
  <c r="K25" i="6"/>
  <c r="N24" i="6"/>
  <c r="O24" i="6" s="1"/>
  <c r="F24" i="6"/>
  <c r="F33" i="6" s="1"/>
  <c r="I23" i="6"/>
  <c r="N23" i="6" s="1"/>
  <c r="Q15" i="6"/>
  <c r="K15" i="6"/>
  <c r="I14" i="6"/>
  <c r="I13" i="6"/>
  <c r="I12" i="6"/>
  <c r="F12" i="6"/>
  <c r="I11" i="6"/>
  <c r="N11" i="6" s="1"/>
  <c r="Q10" i="6"/>
  <c r="K10" i="6"/>
  <c r="B2" i="6"/>
  <c r="B39" i="6" s="1"/>
  <c r="A2" i="6"/>
  <c r="Q32" i="4"/>
  <c r="K32" i="4"/>
  <c r="I31" i="4"/>
  <c r="J30" i="4"/>
  <c r="I27" i="4"/>
  <c r="F27" i="4"/>
  <c r="F32" i="4" s="1"/>
  <c r="I26" i="4"/>
  <c r="N26" i="4" s="1"/>
  <c r="Q25" i="4"/>
  <c r="K25" i="4"/>
  <c r="I23" i="4"/>
  <c r="I22" i="4"/>
  <c r="I21" i="4"/>
  <c r="F21" i="4"/>
  <c r="F25" i="4" s="1"/>
  <c r="I20" i="4"/>
  <c r="N20" i="4" s="1"/>
  <c r="K19" i="4"/>
  <c r="Q19" i="4" s="1"/>
  <c r="K7" i="4"/>
  <c r="K6" i="4"/>
  <c r="F6" i="4"/>
  <c r="F19" i="4" s="1"/>
  <c r="I5" i="4"/>
  <c r="N5" i="4" s="1"/>
  <c r="B2" i="4"/>
  <c r="B33" i="4" s="1"/>
  <c r="A2" i="4"/>
  <c r="E37" i="2"/>
  <c r="E31" i="2"/>
  <c r="E29" i="2"/>
  <c r="E26" i="2"/>
  <c r="E24" i="2"/>
  <c r="E22" i="2"/>
  <c r="E20" i="2"/>
  <c r="E18" i="2"/>
  <c r="E15" i="2"/>
  <c r="E13" i="2"/>
  <c r="E11" i="2"/>
  <c r="E9" i="2"/>
  <c r="E7" i="2"/>
  <c r="E5" i="2"/>
  <c r="Q39" i="6" l="1"/>
  <c r="K39" i="6"/>
  <c r="Q33" i="4"/>
  <c r="K33" i="4"/>
  <c r="I25" i="4"/>
  <c r="P4" i="7"/>
  <c r="P28" i="7"/>
  <c r="I15" i="6"/>
  <c r="P5" i="7"/>
  <c r="I32" i="4"/>
  <c r="F38" i="6"/>
  <c r="F15" i="6"/>
  <c r="F39" i="6" s="1"/>
  <c r="C24" i="9"/>
  <c r="C25" i="9" s="1"/>
  <c r="I31" i="11"/>
  <c r="P12" i="11"/>
  <c r="O31" i="11"/>
  <c r="I8" i="6"/>
  <c r="J8" i="6" s="1"/>
  <c r="K8" i="6"/>
  <c r="N8" i="6"/>
  <c r="O8" i="6" s="1"/>
  <c r="P8" i="6" s="1"/>
  <c r="N7" i="6"/>
  <c r="O7" i="6" s="1"/>
  <c r="P7" i="6" s="1"/>
  <c r="I7" i="6"/>
  <c r="K7" i="6"/>
  <c r="I9" i="6"/>
  <c r="J9" i="6" s="1"/>
  <c r="N9" i="6"/>
  <c r="O9" i="6" s="1"/>
  <c r="P9" i="6" s="1"/>
  <c r="K9" i="6"/>
  <c r="P6" i="6"/>
  <c r="P23" i="11"/>
  <c r="N31" i="4"/>
  <c r="O31" i="4" s="1"/>
  <c r="P31" i="4" s="1"/>
  <c r="J31" i="4"/>
  <c r="K28" i="6"/>
  <c r="N25" i="6"/>
  <c r="O25" i="6" s="1"/>
  <c r="P25" i="6" s="1"/>
  <c r="K32" i="6"/>
  <c r="N32" i="6"/>
  <c r="O32" i="6" s="1"/>
  <c r="P32" i="6" s="1"/>
  <c r="P27" i="6"/>
  <c r="J13" i="6"/>
  <c r="P26" i="6"/>
  <c r="J12" i="6"/>
  <c r="P24" i="6"/>
  <c r="K27" i="6"/>
  <c r="P30" i="6"/>
  <c r="K12" i="6"/>
  <c r="N29" i="6"/>
  <c r="O29" i="6" s="1"/>
  <c r="P29" i="6" s="1"/>
  <c r="P31" i="6"/>
  <c r="N12" i="6"/>
  <c r="O12" i="6" s="1"/>
  <c r="I24" i="6"/>
  <c r="N28" i="6"/>
  <c r="O28" i="6" s="1"/>
  <c r="P28" i="6" s="1"/>
  <c r="I31" i="6"/>
  <c r="J31" i="6" s="1"/>
  <c r="J32" i="6"/>
  <c r="K24" i="6"/>
  <c r="K31" i="6"/>
  <c r="I27" i="6"/>
  <c r="J27" i="6" s="1"/>
  <c r="I30" i="6"/>
  <c r="J30" i="6" s="1"/>
  <c r="K13" i="6"/>
  <c r="K14" i="6"/>
  <c r="I25" i="6"/>
  <c r="J25" i="6" s="1"/>
  <c r="K26" i="6"/>
  <c r="I29" i="6"/>
  <c r="J29" i="6" s="1"/>
  <c r="K30" i="6"/>
  <c r="I35" i="6"/>
  <c r="J14" i="6"/>
  <c r="I26" i="6"/>
  <c r="J26" i="6" s="1"/>
  <c r="N13" i="6"/>
  <c r="O13" i="6" s="1"/>
  <c r="P13" i="6" s="1"/>
  <c r="N14" i="6"/>
  <c r="O14" i="6" s="1"/>
  <c r="P14" i="6" s="1"/>
  <c r="J28" i="6"/>
  <c r="N35" i="6"/>
  <c r="O35" i="6" s="1"/>
  <c r="N23" i="4"/>
  <c r="O23" i="4" s="1"/>
  <c r="P23" i="4" s="1"/>
  <c r="K23" i="4"/>
  <c r="N21" i="4"/>
  <c r="O21" i="4" s="1"/>
  <c r="K27" i="4"/>
  <c r="N30" i="4"/>
  <c r="O30" i="4" s="1"/>
  <c r="P30" i="4" s="1"/>
  <c r="N27" i="4"/>
  <c r="O27" i="4" s="1"/>
  <c r="N6" i="4"/>
  <c r="O6" i="4" s="1"/>
  <c r="J27" i="4"/>
  <c r="K31" i="4"/>
  <c r="J23" i="4"/>
  <c r="K36" i="6"/>
  <c r="N36" i="6"/>
  <c r="O36" i="6" s="1"/>
  <c r="P36" i="6" s="1"/>
  <c r="I36" i="6"/>
  <c r="J36" i="6" s="1"/>
  <c r="N15" i="4"/>
  <c r="O15" i="4" s="1"/>
  <c r="K15" i="4"/>
  <c r="J22" i="4"/>
  <c r="I7" i="4"/>
  <c r="J7" i="4" s="1"/>
  <c r="K22" i="4"/>
  <c r="I6" i="4"/>
  <c r="N16" i="4"/>
  <c r="O16" i="4" s="1"/>
  <c r="P16" i="4" s="1"/>
  <c r="K16" i="4"/>
  <c r="J21" i="4"/>
  <c r="N22" i="4"/>
  <c r="O22" i="4" s="1"/>
  <c r="P22" i="4" s="1"/>
  <c r="K37" i="6"/>
  <c r="N37" i="6"/>
  <c r="O37" i="6" s="1"/>
  <c r="P37" i="6" s="1"/>
  <c r="I37" i="6"/>
  <c r="J37" i="6" s="1"/>
  <c r="I15" i="4"/>
  <c r="N7" i="4"/>
  <c r="O7" i="4" s="1"/>
  <c r="P7" i="4" s="1"/>
  <c r="I16" i="4"/>
  <c r="J16" i="4" s="1"/>
  <c r="K21" i="4"/>
  <c r="I29" i="7"/>
  <c r="C19" i="8" s="1"/>
  <c r="P29" i="7" l="1"/>
  <c r="C19" i="9" s="1"/>
  <c r="I10" i="6"/>
  <c r="J10" i="6" s="1"/>
  <c r="O10" i="6"/>
  <c r="P10" i="6" s="1"/>
  <c r="O32" i="4"/>
  <c r="O25" i="4"/>
  <c r="I19" i="4"/>
  <c r="I33" i="4" s="1"/>
  <c r="C14" i="8" s="1"/>
  <c r="P6" i="4"/>
  <c r="O19" i="4"/>
  <c r="C26" i="9"/>
  <c r="P27" i="4"/>
  <c r="P12" i="6"/>
  <c r="O15" i="6"/>
  <c r="P15" i="6" s="1"/>
  <c r="J35" i="6"/>
  <c r="I38" i="6"/>
  <c r="P35" i="6"/>
  <c r="O38" i="6"/>
  <c r="J24" i="6"/>
  <c r="I33" i="6"/>
  <c r="J33" i="6" s="1"/>
  <c r="O33" i="6"/>
  <c r="J15" i="4"/>
  <c r="P15" i="4"/>
  <c r="P31" i="11"/>
  <c r="C17" i="9"/>
  <c r="J31" i="11"/>
  <c r="C17" i="8"/>
  <c r="P21" i="4"/>
  <c r="F33" i="4"/>
  <c r="J7" i="6"/>
  <c r="J15" i="6"/>
  <c r="J25" i="4"/>
  <c r="J32" i="4"/>
  <c r="J6" i="4"/>
  <c r="I39" i="6" l="1"/>
  <c r="O39" i="6"/>
  <c r="O33" i="4"/>
  <c r="P32" i="4"/>
  <c r="J33" i="4"/>
  <c r="J19" i="4"/>
  <c r="P19" i="4"/>
  <c r="P25" i="4"/>
  <c r="P33" i="4" l="1"/>
  <c r="C14" i="9"/>
  <c r="J38" i="6"/>
  <c r="P33" i="6"/>
  <c r="C18" i="9"/>
  <c r="XFC19" i="4"/>
  <c r="C20" i="9" l="1"/>
  <c r="D39" i="9" s="1"/>
  <c r="J39" i="6"/>
  <c r="C18" i="8"/>
  <c r="C20" i="8" s="1"/>
  <c r="P38" i="6"/>
  <c r="P39" i="6"/>
  <c r="D25" i="9" l="1"/>
  <c r="D24" i="9"/>
  <c r="C30" i="9" s="1"/>
  <c r="D37" i="9" l="1"/>
  <c r="C37" i="9" s="1"/>
  <c r="D26" i="9"/>
  <c r="D32" i="9"/>
  <c r="D31" i="9" s="1"/>
  <c r="C31" i="9" s="1"/>
  <c r="C32" i="9" s="1"/>
  <c r="D38" i="9" l="1"/>
  <c r="C38" i="9" s="1"/>
  <c r="C39" i="9" s="1"/>
</calcChain>
</file>

<file path=xl/sharedStrings.xml><?xml version="1.0" encoding="utf-8"?>
<sst xmlns="http://schemas.openxmlformats.org/spreadsheetml/2006/main" count="429" uniqueCount="308">
  <si>
    <t>הבהרות</t>
  </si>
  <si>
    <r>
      <rPr>
        <sz val="11"/>
        <color rgb="FF000000"/>
        <rFont val="Times New Roman"/>
        <family val="1"/>
      </rPr>
      <t xml:space="preserve">* במידה וקיים צורך בציוד אשר אינו מופיע בתקן יש למלא בגיליון </t>
    </r>
    <r>
      <rPr>
        <b/>
        <sz val="11"/>
        <color rgb="FF000000"/>
        <rFont val="Times New Roman"/>
        <family val="1"/>
      </rPr>
      <t>ציוד נוסף,</t>
    </r>
  </si>
  <si>
    <t xml:space="preserve">* הסכומים כוללים מע"מ </t>
  </si>
  <si>
    <t>* הסכומים כוללים הובלה והתקנה.</t>
  </si>
  <si>
    <t>* יש למלא את גיליון השאלון למילוי מגיש הבקשה במלואו</t>
  </si>
  <si>
    <t xml:space="preserve">הגשת בקשה להצטיידות לפי תקן כפופה לתנאי הסף המופיעים בקול קורא  ולהיקף הסיוע המוגדר בקול הקורא. </t>
  </si>
  <si>
    <t>שאלון למילוי ע"י  מגיש הבקשה</t>
  </si>
  <si>
    <t>פרטי הגוף המבקש</t>
  </si>
  <si>
    <t>תאריך הגשת הבקשה</t>
  </si>
  <si>
    <t>שם הגוף המבקש</t>
  </si>
  <si>
    <t>כתובת הגוף המבקש</t>
  </si>
  <si>
    <t>איש קשר בגוף המבקש</t>
  </si>
  <si>
    <t>טלפון איש קשר בגוף המבקש</t>
  </si>
  <si>
    <t>מייל איש קשר בגוף המבקש</t>
  </si>
  <si>
    <t>פרטי המסגרת</t>
  </si>
  <si>
    <t>שם המסגרת</t>
  </si>
  <si>
    <t>כתובת המסגרת</t>
  </si>
  <si>
    <t>איש קשר במסגרת</t>
  </si>
  <si>
    <t>טלפון איש קשר במסגרת</t>
  </si>
  <si>
    <t>מייל איש קשר במסגרת</t>
  </si>
  <si>
    <t>מאפייני המקום</t>
  </si>
  <si>
    <t>מספר תאי רחצה משולבים נגישים</t>
  </si>
  <si>
    <t>הערות והסברים למילוי הבקשה:</t>
  </si>
  <si>
    <t>חובה למלא את השאלון לעיל לפני מעבר לכתב הכמויות</t>
  </si>
  <si>
    <r>
      <rPr>
        <sz val="11"/>
        <color theme="1"/>
        <rFont val="Times New Roman"/>
        <family val="1"/>
      </rPr>
      <t xml:space="preserve">הגוף המבקש מתבקש למלא פרטים </t>
    </r>
    <r>
      <rPr>
        <u/>
        <sz val="11"/>
        <color theme="1"/>
        <rFont val="Times New Roman"/>
        <family val="1"/>
      </rPr>
      <t xml:space="preserve">רק </t>
    </r>
    <r>
      <rPr>
        <sz val="11"/>
        <color theme="1"/>
        <rFont val="Times New Roman"/>
        <family val="1"/>
      </rPr>
      <t>בתאים המסומנים בצבע ורוד . אין לגעת בתאים אחרים.</t>
    </r>
  </si>
  <si>
    <t xml:space="preserve">כל מחירי התקן כוללים מע"מ </t>
  </si>
  <si>
    <t xml:space="preserve">נא להתייחס אך ורק לרכישת הציוד החסר להפעלת התוכנית </t>
  </si>
  <si>
    <t xml:space="preserve">נא להתייחס להערות בכל הגיליון לגבי הדרישות למשאבים, כ"א, תקנים, מתן  פירוט והסברים  </t>
  </si>
  <si>
    <t>המחירים כוללים הובלה והתקנה של הציוד</t>
  </si>
  <si>
    <t>תוכן עניינים</t>
  </si>
  <si>
    <t>הסברים והערות לממלא הבקשה</t>
  </si>
  <si>
    <t>גיליונות הסבר והכנה</t>
  </si>
  <si>
    <t>פתיח</t>
  </si>
  <si>
    <t>יש לקרוא לפני מילוי הבקשה</t>
  </si>
  <si>
    <t>שאלון למילוי הגוף</t>
  </si>
  <si>
    <t>גיליונות הבקשה</t>
  </si>
  <si>
    <t>ציוד הבריכה</t>
  </si>
  <si>
    <t>ציוד מקלחונים וחדרי שירותים</t>
  </si>
  <si>
    <t>ציוד כללי</t>
  </si>
  <si>
    <t>ציוד נוסף שלא מופיע בתקן</t>
  </si>
  <si>
    <t>טבלאות סיכום</t>
  </si>
  <si>
    <t>סיכום בקשת הגוף</t>
  </si>
  <si>
    <t>לשימוש המוסד לביטוח הלאומי בלבד</t>
  </si>
  <si>
    <t>נא למלא כמות מבוקשת לפי הצורך בפועל, ולא אוטומטית לפי התקן (התקן הוא המקסימום)</t>
  </si>
  <si>
    <t>תקן</t>
  </si>
  <si>
    <t xml:space="preserve">בקשת  הגוף </t>
  </si>
  <si>
    <t>אישור מנהל/ת התכנית</t>
  </si>
  <si>
    <t>מס'</t>
  </si>
  <si>
    <t>סוג הריהוט / ציוד</t>
  </si>
  <si>
    <t>תיאור/ הערות</t>
  </si>
  <si>
    <t xml:space="preserve">תקציב ליחידה </t>
  </si>
  <si>
    <t>כמות התקן</t>
  </si>
  <si>
    <t>תקציב התקן</t>
  </si>
  <si>
    <t>כמות מבוקשת</t>
  </si>
  <si>
    <t>תקציב מבוקש</t>
  </si>
  <si>
    <t>סטייה מהתקן</t>
  </si>
  <si>
    <t>הערות הגוף</t>
  </si>
  <si>
    <t>המלצת מנהל/ת התכנית</t>
  </si>
  <si>
    <t>כמות מאושרת</t>
  </si>
  <si>
    <t>הערות מנהל/ת התכנית</t>
  </si>
  <si>
    <t>ציוד תחזוקת הבריכה</t>
  </si>
  <si>
    <t>רובוט</t>
  </si>
  <si>
    <t>וואקום קלינר</t>
  </si>
  <si>
    <t>פוטומטר</t>
  </si>
  <si>
    <t>מד עכירות נייד</t>
  </si>
  <si>
    <t xml:space="preserve">מד חום דיגיטלי </t>
  </si>
  <si>
    <t>ארגז כלי עבודה</t>
  </si>
  <si>
    <t>מכונת ניקוי בלחץ מים חמים</t>
  </si>
  <si>
    <t>מערכת מצלמות בטיחות</t>
  </si>
  <si>
    <t>שעון לבריכה</t>
  </si>
  <si>
    <t xml:space="preserve">ציוד בטיחות והצלה </t>
  </si>
  <si>
    <t>גלגל הצלה</t>
  </si>
  <si>
    <t>מוט הצלה</t>
  </si>
  <si>
    <t>ציוד נגישות </t>
  </si>
  <si>
    <t>מיטת טיפול</t>
  </si>
  <si>
    <t>מוצרים לאבחון מטופלים: מזרון, קפצית, סט שרשרפים</t>
  </si>
  <si>
    <t>נעלים לשיקום במים</t>
  </si>
  <si>
    <t>אופני כושר למים</t>
  </si>
  <si>
    <t>הליכון למים</t>
  </si>
  <si>
    <t>מסלול שחייה שובר גלים</t>
  </si>
  <si>
    <t>מזרונים בגדלים וסוגים שונים</t>
  </si>
  <si>
    <t>משחקים למים</t>
  </si>
  <si>
    <t xml:space="preserve">אביזרי ציפה והתנגדות </t>
  </si>
  <si>
    <t>ציוד מקלחונים נגישים</t>
  </si>
  <si>
    <t>מנוף יבש עם סוללה נטענת</t>
  </si>
  <si>
    <t>מיטת רחצה נירוסטה</t>
  </si>
  <si>
    <t>מאחזי יד אם לא הותקן בשלב הבניה</t>
  </si>
  <si>
    <t xml:space="preserve">מתקן נייר טואלט כפול </t>
  </si>
  <si>
    <t xml:space="preserve">פח אשפה </t>
  </si>
  <si>
    <t xml:space="preserve">דיספנסר לסבון נוזלי </t>
  </si>
  <si>
    <t xml:space="preserve">מתקן מגבות נייר </t>
  </si>
  <si>
    <t xml:space="preserve">מראה </t>
  </si>
  <si>
    <t xml:space="preserve">מתקן ניקוי אסלה </t>
  </si>
  <si>
    <t xml:space="preserve">פן ליבוש שיער </t>
  </si>
  <si>
    <t>יבשן לבגדי ים ומגבות</t>
  </si>
  <si>
    <t>מתלים</t>
  </si>
  <si>
    <t>מלתחות</t>
  </si>
  <si>
    <t>מיטת החתלה</t>
  </si>
  <si>
    <t>פרגודים</t>
  </si>
  <si>
    <t>ארון שירות מפלסטיק</t>
  </si>
  <si>
    <t>ספסלים</t>
  </si>
  <si>
    <t>כיסאות</t>
  </si>
  <si>
    <t>שולחן</t>
  </si>
  <si>
    <t xml:space="preserve">כיסאות </t>
  </si>
  <si>
    <t>בר מים</t>
  </si>
  <si>
    <t>מערכת מוזיקה תת מימית</t>
  </si>
  <si>
    <t>טלוויזיה כולל אביזרי תלייה</t>
  </si>
  <si>
    <t>ציוד הגברה נגיש</t>
  </si>
  <si>
    <t>ציוד עזרה ראשונה</t>
  </si>
  <si>
    <t>ארון עזרה ראשונה</t>
  </si>
  <si>
    <t xml:space="preserve">מקרר קטן לתרופות </t>
  </si>
  <si>
    <t>ארון</t>
  </si>
  <si>
    <t>מדפסת משולבת</t>
  </si>
  <si>
    <t>מקרר קטן</t>
  </si>
  <si>
    <t>מיקרוגל</t>
  </si>
  <si>
    <t>קומקום חשמל</t>
  </si>
  <si>
    <t>עיצוב פנים וציוד כללי אחר</t>
  </si>
  <si>
    <t>שירותי עיצוב פנים</t>
  </si>
  <si>
    <t>פחי אשפה מחוץ למקלחונים וחדרי שירותים</t>
  </si>
  <si>
    <t>יש לרשום ציוד נוסף שאינו מופיע בתקן ולצרף 2 הצעות מחיר לציוד בעלות עד 20,000 ₪ ו-3 הצעות מחיר לסכום גבוה יותר</t>
  </si>
  <si>
    <t>תחום פעילות/ קבוצת ההוצאות</t>
  </si>
  <si>
    <t>פירוט הציוד/הפריט</t>
  </si>
  <si>
    <t>תיאור הצורך בפריט/בציוד</t>
  </si>
  <si>
    <t>הצעת מחיר א' (כולל מע"מ)</t>
  </si>
  <si>
    <t>הצעת מחיר ב' (כולל מע"מ)</t>
  </si>
  <si>
    <t>הצעת מחיר ג' (כולל מע"מ)</t>
  </si>
  <si>
    <t>סה"כ מחיר לפי ההצעה הזולה (כולל מע"מ)</t>
  </si>
  <si>
    <t>המלצת המנהלת (כמות)</t>
  </si>
  <si>
    <t>אישור מחיר חריג</t>
  </si>
  <si>
    <t>מחיר מאושר</t>
  </si>
  <si>
    <t>תקציב מאושר</t>
  </si>
  <si>
    <t>הערות מנהלת התוכנית</t>
  </si>
  <si>
    <t>סה"כ ציוד יעודי כולל מע"מ</t>
  </si>
  <si>
    <t>דו"ח סיכום פרויקט בקשת הצטיידות</t>
  </si>
  <si>
    <t>קטגוריית ציוד</t>
  </si>
  <si>
    <t>סה"כ לפרוייקט</t>
  </si>
  <si>
    <t>קו עימות</t>
  </si>
  <si>
    <t>יש למלא סכום מקסימלי לפי קול קורא</t>
  </si>
  <si>
    <t>אחוז מימון מקסימלי לפי דירוג אשכול לאישור הוועדה (לפי אחוז השתתפות בט"ל וללא התחשבות בתקציב הסיוע המקסימלי בקול קורא)</t>
  </si>
  <si>
    <t>גורם מממן</t>
  </si>
  <si>
    <t>אחוז מימון</t>
  </si>
  <si>
    <t xml:space="preserve">סכום מימון </t>
  </si>
  <si>
    <t>אחוז מימון מקסימלי-ביטוח לאומי</t>
  </si>
  <si>
    <t>מימון עצמי</t>
  </si>
  <si>
    <t>סה"כ</t>
  </si>
  <si>
    <t>אחוז מימון מקסימלי לפי דירוג אשכול לאישור הוועדה (אחוז השתתפות בט"ל בהתחשב בתקציב הסיוע המקסימלי בקול קורא)</t>
  </si>
  <si>
    <t>סכום מימון מקסימלי-ביטוח לאומי</t>
  </si>
  <si>
    <t>לאישור הוועדה</t>
  </si>
  <si>
    <t>מימון מאושר - הנמוך מבין השניים - אחוז השתתפות  או תקציב סיוע מקסימלי</t>
  </si>
  <si>
    <t>מימון ביטוח לאומי מקסימלי</t>
  </si>
  <si>
    <t>טרמפולינה למים</t>
  </si>
  <si>
    <t>גשר הליכה במים</t>
  </si>
  <si>
    <t>אי שוקע</t>
  </si>
  <si>
    <t>משטח ייצוב למים</t>
  </si>
  <si>
    <t>שולחן לילדים עם כיסאות</t>
  </si>
  <si>
    <t xml:space="preserve">סולם </t>
  </si>
  <si>
    <t>סכום גלובלי</t>
  </si>
  <si>
    <t>צג טמפרטורה לבריכה</t>
  </si>
  <si>
    <t>ציוד אלקטרוני: מצלמות בטיחות, ציוד מולטימדיה </t>
  </si>
  <si>
    <t>ציוד אזורי המתנה וחללים כלליים</t>
  </si>
  <si>
    <t>מספר שירותים נגישים</t>
  </si>
  <si>
    <t xml:space="preserve">ציוד מקלחונים וחדרי שירותים </t>
  </si>
  <si>
    <t>ציוד נגישות  למקלחונים וחדרי שירותים</t>
  </si>
  <si>
    <t xml:space="preserve">סך ציוד תחזוקת הבריכה </t>
  </si>
  <si>
    <t xml:space="preserve">סך ציוד נגישות </t>
  </si>
  <si>
    <t>אביזרים ספורט: כדורים, משקלות וכו'</t>
  </si>
  <si>
    <t>אביזרי שחייה: סנפירים, כפפות, לוחות, גלשנים, נודלים, חגורות וכו'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</si>
  <si>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</si>
  <si>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</si>
  <si>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</si>
  <si>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</si>
  <si>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</si>
  <si>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</si>
  <si>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</si>
  <si>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</si>
  <si>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</si>
  <si>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</si>
  <si>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</si>
  <si>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</si>
  <si>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</si>
  <si>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</si>
  <si>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</si>
  <si>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</si>
  <si>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</si>
  <si>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</si>
  <si>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</si>
  <si>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</si>
  <si>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</si>
  <si>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</si>
  <si>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 xml:space="preserve">ציוד צוות </t>
  </si>
  <si>
    <t xml:space="preserve">סך ציוד נגישות  למקלחונים וחדרי שירותים </t>
  </si>
  <si>
    <t xml:space="preserve">סך ציוד מקלחונים </t>
  </si>
  <si>
    <t xml:space="preserve">סך ציוד מלתחות </t>
  </si>
  <si>
    <t xml:space="preserve">סך ציוד עזרה ראשונה </t>
  </si>
  <si>
    <t xml:space="preserve">סך ציוד אזורי המתנה </t>
  </si>
  <si>
    <t xml:space="preserve">סך ציוד צוות </t>
  </si>
  <si>
    <t xml:space="preserve">סך עיצוב פנים כולל שירות ואביזרים </t>
  </si>
  <si>
    <t>מערכת ציוד בטיחות לחומרים מסוכנים</t>
  </si>
  <si>
    <t>4.1.1</t>
  </si>
  <si>
    <t>4.2.2</t>
  </si>
  <si>
    <t>4.1.2</t>
  </si>
  <si>
    <t>4.1.3</t>
  </si>
  <si>
    <t>4.1.4</t>
  </si>
  <si>
    <t>4.1.5</t>
  </si>
  <si>
    <t>4.1.6</t>
  </si>
  <si>
    <t>4.2.1</t>
  </si>
  <si>
    <t>4.2.3</t>
  </si>
  <si>
    <t>4.2.4</t>
  </si>
  <si>
    <t>4.2.5</t>
  </si>
  <si>
    <t>4.2.6</t>
  </si>
  <si>
    <t>4.2.7</t>
  </si>
  <si>
    <t>4.2.8</t>
  </si>
  <si>
    <t>4.2.9</t>
  </si>
  <si>
    <t>4.3.1</t>
  </si>
  <si>
    <t>4.3.2</t>
  </si>
  <si>
    <t>4.3.3</t>
  </si>
  <si>
    <t>4.3.4</t>
  </si>
  <si>
    <t>4.3.5</t>
  </si>
  <si>
    <t xml:space="preserve">סך ציוד אלקטרוני </t>
  </si>
  <si>
    <t>5.1.1</t>
  </si>
  <si>
    <t>5.2.2</t>
  </si>
  <si>
    <t>5.3.3</t>
  </si>
  <si>
    <t>5.1.2</t>
  </si>
  <si>
    <t>5.1.3</t>
  </si>
  <si>
    <t>5.1.4</t>
  </si>
  <si>
    <t>5.5.1</t>
  </si>
  <si>
    <t>5.5.2</t>
  </si>
  <si>
    <t>5.5.3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</si>
  <si>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</si>
  <si>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</si>
  <si>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</si>
  <si>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</si>
  <si>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</si>
  <si>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</si>
  <si>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</si>
  <si>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</si>
  <si>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</si>
  <si>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5.3.1</t>
  </si>
  <si>
    <t>5.3.2</t>
  </si>
  <si>
    <t>5.3.4</t>
  </si>
  <si>
    <t>5.2.1</t>
  </si>
  <si>
    <t>5.2.3</t>
  </si>
  <si>
    <t xml:space="preserve">סך בקשת הגוף </t>
  </si>
  <si>
    <t>סך בקשת הגוף שאושרה ע"י מנהל/ת התכנית</t>
  </si>
  <si>
    <t xml:space="preserve">דירוג סוציואקונומי של הישוב </t>
  </si>
  <si>
    <t>לפי מספר תאי שירותים נגישים ורגילים</t>
  </si>
  <si>
    <t>הליכון מסוע למים</t>
  </si>
  <si>
    <t>מספר שירותים רגילים</t>
  </si>
  <si>
    <t>סיכום לוועדה</t>
  </si>
  <si>
    <t>ציוד טיפולי והידרותרפיה</t>
  </si>
  <si>
    <t>ציוד אבחון</t>
  </si>
  <si>
    <t>התקנת חלק מהציוד דורשת עבודות פיתוח, תשתיות ושיפוץ. במסגרת התקן לא יינתן מימון לעבודות הנ"ל</t>
  </si>
  <si>
    <t>לשימוש הגוף המבקש</t>
  </si>
  <si>
    <t>בכל צד הבריכה</t>
  </si>
  <si>
    <t>בכל צד הבריכה ובמשרד</t>
  </si>
  <si>
    <t>ציוד תחזוקה, בטיחות ונגישות הבריכה עצמה</t>
  </si>
  <si>
    <t>ציוד לטיפול האנשים במים</t>
  </si>
  <si>
    <t>ציוד אבחון המטופלים לפני פעילותם במים</t>
  </si>
  <si>
    <t xml:space="preserve">נא למלא לפי הצורך ולהגיש בצירוף הצעות מחיר </t>
  </si>
  <si>
    <t>כיסוי לבריכה כולל מתקן לגלילת הכיסוי</t>
  </si>
  <si>
    <t>שטח הבריכה, מ"ר</t>
  </si>
  <si>
    <t>לפי בחירת הגוף</t>
  </si>
  <si>
    <t>ציוד קבוע לאחסון אביזרי הבריכה</t>
  </si>
  <si>
    <t>עגלות ניידות לאחסון הציוד</t>
  </si>
  <si>
    <t>שילוט בטיחות</t>
  </si>
  <si>
    <t>כיסא גלגלים רחב</t>
  </si>
  <si>
    <t>1.1.14</t>
  </si>
  <si>
    <t>1.2.5</t>
  </si>
  <si>
    <t>1.3.6</t>
  </si>
  <si>
    <t>לפי 50 ₪ למ"ר של הבריכה + מתקן 4,000 ₪</t>
  </si>
  <si>
    <t>מדרגות אירוביות בגדלים שונים</t>
  </si>
  <si>
    <t>טרמפולינה לאבחון</t>
  </si>
  <si>
    <t>משחקים לאבחון יבשה</t>
  </si>
  <si>
    <t>מיטת אבחון</t>
  </si>
  <si>
    <t>דפיברילטור</t>
  </si>
  <si>
    <t>5.1.5</t>
  </si>
  <si>
    <t>5.2.4</t>
  </si>
  <si>
    <t>5.3.5</t>
  </si>
  <si>
    <t>5.4.10</t>
  </si>
  <si>
    <t>5.5.4</t>
  </si>
  <si>
    <t>אביזרי עיצוב</t>
  </si>
  <si>
    <t>מעצב/ ת</t>
  </si>
  <si>
    <t>4.1.7</t>
  </si>
  <si>
    <t>4.2.10</t>
  </si>
  <si>
    <t>4.3.6</t>
  </si>
  <si>
    <t>מאשר</t>
  </si>
  <si>
    <t xml:space="preserve">חובה למלא את כל הסעיפים לפני מעבר לפרטי הציוד </t>
  </si>
  <si>
    <t xml:space="preserve">ציוד כלל מתחמי, חללים משותפים ומשאבים אחרים שאינם נכללים בסעיפים הקודמים </t>
  </si>
  <si>
    <t>ארונות לוקרים  (מחיר תקן לפי מספר תאים)</t>
  </si>
  <si>
    <t>לפי מספר מטופלים בו זמנית בתוספת 20%</t>
  </si>
  <si>
    <t>מספר טיפולים בו זמנית</t>
  </si>
  <si>
    <t xml:space="preserve">סך ציוד בטיחות והצלה </t>
  </si>
  <si>
    <t>כיסא רחצה ושירותים עם הטיה</t>
  </si>
  <si>
    <t xml:space="preserve">התקן מהווה רשימת ציוד מומלצת אשר ניתן לבחור מתוכה את פרטי הציוד הדרושים. </t>
  </si>
  <si>
    <t>מטרת התקן לסייע לגופים המפעילים בריכות טיפוליות לבנות רשימת ציוד בהתאם להיקף  פעילותם וגודל הבריכה.</t>
  </si>
  <si>
    <t xml:space="preserve">ניתן להשתמש בתקן בצורה מודולרית בהתאם למספר המשתתפים, גודל המקום וסוגי הטיפולים במים. </t>
  </si>
  <si>
    <t xml:space="preserve">   בצרוף 2 הצעות מחיר לציוד בעלות עד 20,000 ₪ ו-3 לסכום גבוה יותר.</t>
  </si>
  <si>
    <t>מחשב קומפלט מוגן מים</t>
  </si>
  <si>
    <t>5.3.6</t>
  </si>
  <si>
    <t>מבחנה ידנית "טסט קיט" למדידת כלור וחומציות PH</t>
  </si>
  <si>
    <t>כסאות גלגלים סטנדרטיים לשירותים ורחצה</t>
  </si>
  <si>
    <t>לפי מספר תאי רחצה נגישים</t>
  </si>
  <si>
    <t>כיסא רחצה ושירותים</t>
  </si>
  <si>
    <t>לפי מספר תאי רחצה ושירותים</t>
  </si>
  <si>
    <t xml:space="preserve">תקן הצטיידות לבריכות טיפוליות </t>
  </si>
  <si>
    <t>מנוף לכניסה ויציאה מהמים</t>
  </si>
  <si>
    <t>אלונקת אמבולנס</t>
  </si>
  <si>
    <t>מצופי וואטסו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</si>
</sst>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₪&quot;\ #,##0;[Red]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mmmm\-yyyy"/>
    <numFmt numFmtId="165" formatCode="_ * #,##0_ ;_ * \-#,##0_ ;_ * &quot;-&quot;??_ ;_ @_ "/>
    <numFmt numFmtId="166" formatCode="&quot;₪&quot;\ #,##0"/>
    <numFmt numFmtId="167" formatCode="#,##0_ ;[Red]\-#,##0\ "/>
    <numFmt numFmtId="168" formatCode="#,##0.0_ ;\-#,##0.0\ "/>
    <numFmt numFmtId="169" formatCode="#,##0.00_ ;\-#,##0.00\ "/>
    <numFmt numFmtId="170" formatCode="mmm\-yyyy"/>
  </numFmts>
  <fonts count="34" x14ac:knownFonts="1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rgb="FFC00000"/>
      <name val="Times New Roman"/>
      <family val="1"/>
    </font>
    <font>
      <u/>
      <sz val="11"/>
      <color theme="10"/>
      <name val="Arial"/>
      <family val="2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Times New Roman"/>
      <family val="1"/>
    </font>
    <font>
      <sz val="11"/>
      <name val="Arial"/>
      <family val="2"/>
    </font>
    <font>
      <b/>
      <sz val="12"/>
      <color rgb="FF800000"/>
      <name val="Times New Roman"/>
      <family val="1"/>
    </font>
    <font>
      <b/>
      <sz val="14"/>
      <color rgb="FF8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u/>
      <sz val="12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0" borderId="3"/>
    <xf numFmtId="44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9" fontId="1" fillId="0" borderId="3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right" readingOrder="2"/>
    </xf>
    <xf numFmtId="164" fontId="4" fillId="0" borderId="0" xfId="0" applyNumberFormat="1" applyFont="1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6" fillId="3" borderId="3" xfId="0" applyFont="1" applyFill="1" applyBorder="1" applyAlignment="1">
      <alignment horizontal="right" vertical="center" readingOrder="2"/>
    </xf>
    <xf numFmtId="0" fontId="7" fillId="3" borderId="3" xfId="0" applyFont="1" applyFill="1" applyBorder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2" fillId="0" borderId="7" xfId="0" applyFont="1" applyBorder="1"/>
    <xf numFmtId="0" fontId="13" fillId="2" borderId="9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15" fillId="0" borderId="5" xfId="0" applyFont="1" applyBorder="1"/>
    <xf numFmtId="165" fontId="2" fillId="4" borderId="10" xfId="0" applyNumberFormat="1" applyFont="1" applyFill="1" applyBorder="1"/>
    <xf numFmtId="0" fontId="16" fillId="0" borderId="0" xfId="0" applyFont="1"/>
    <xf numFmtId="0" fontId="2" fillId="0" borderId="11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17" fillId="0" borderId="11" xfId="0" applyFont="1" applyBorder="1" applyAlignment="1">
      <alignment vertical="center"/>
    </xf>
    <xf numFmtId="0" fontId="2" fillId="0" borderId="0" xfId="0" applyFont="1" applyAlignment="1">
      <alignment horizontal="right" readingOrder="1"/>
    </xf>
    <xf numFmtId="0" fontId="17" fillId="0" borderId="0" xfId="0" applyFont="1" applyAlignment="1">
      <alignment horizontal="right" vertical="center"/>
    </xf>
    <xf numFmtId="14" fontId="2" fillId="4" borderId="14" xfId="0" applyNumberFormat="1" applyFont="1" applyFill="1" applyBorder="1" applyAlignment="1">
      <alignment vertical="center"/>
    </xf>
    <xf numFmtId="14" fontId="2" fillId="4" borderId="15" xfId="0" applyNumberFormat="1" applyFont="1" applyFill="1" applyBorder="1" applyAlignment="1">
      <alignment vertical="center"/>
    </xf>
    <xf numFmtId="14" fontId="2" fillId="4" borderId="16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7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right" wrapText="1" readingOrder="2"/>
    </xf>
    <xf numFmtId="10" fontId="2" fillId="0" borderId="8" xfId="0" applyNumberFormat="1" applyFont="1" applyBorder="1" applyAlignment="1">
      <alignment horizontal="right" wrapText="1"/>
    </xf>
    <xf numFmtId="0" fontId="17" fillId="0" borderId="8" xfId="0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12" xfId="0" applyFont="1" applyBorder="1" applyAlignment="1">
      <alignment horizontal="center" vertical="center"/>
    </xf>
    <xf numFmtId="0" fontId="17" fillId="0" borderId="0" xfId="0" applyFont="1"/>
    <xf numFmtId="0" fontId="17" fillId="0" borderId="11" xfId="0" applyFont="1" applyBorder="1" applyAlignment="1">
      <alignment horizontal="right" readingOrder="2"/>
    </xf>
    <xf numFmtId="0" fontId="17" fillId="0" borderId="17" xfId="0" applyFont="1" applyBorder="1" applyAlignment="1">
      <alignment horizontal="right" readingOrder="2"/>
    </xf>
    <xf numFmtId="10" fontId="17" fillId="0" borderId="17" xfId="0" applyNumberFormat="1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17" fillId="0" borderId="11" xfId="0" applyFont="1" applyBorder="1" applyAlignment="1">
      <alignment horizontal="center" vertical="center" readingOrder="2"/>
    </xf>
    <xf numFmtId="0" fontId="17" fillId="0" borderId="17" xfId="0" applyFont="1" applyBorder="1" applyAlignment="1">
      <alignment horizontal="center" vertical="center" readingOrder="2"/>
    </xf>
    <xf numFmtId="0" fontId="17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38" fontId="2" fillId="0" borderId="8" xfId="0" applyNumberFormat="1" applyFont="1" applyBorder="1" applyAlignment="1">
      <alignment horizontal="right" wrapText="1" readingOrder="2"/>
    </xf>
    <xf numFmtId="3" fontId="2" fillId="0" borderId="8" xfId="0" applyNumberFormat="1" applyFont="1" applyBorder="1" applyAlignment="1">
      <alignment wrapText="1"/>
    </xf>
    <xf numFmtId="9" fontId="2" fillId="0" borderId="8" xfId="0" applyNumberFormat="1" applyFont="1" applyBorder="1" applyAlignment="1">
      <alignment wrapText="1"/>
    </xf>
    <xf numFmtId="1" fontId="2" fillId="0" borderId="8" xfId="0" applyNumberFormat="1" applyFont="1" applyBorder="1"/>
    <xf numFmtId="0" fontId="17" fillId="0" borderId="8" xfId="0" applyFont="1" applyBorder="1" applyAlignment="1">
      <alignment horizontal="right" wrapText="1" readingOrder="2"/>
    </xf>
    <xf numFmtId="0" fontId="17" fillId="0" borderId="17" xfId="0" applyFont="1" applyBorder="1" applyAlignment="1">
      <alignment horizontal="right" wrapText="1"/>
    </xf>
    <xf numFmtId="3" fontId="17" fillId="0" borderId="8" xfId="0" applyNumberFormat="1" applyFont="1" applyBorder="1" applyAlignment="1">
      <alignment wrapText="1"/>
    </xf>
    <xf numFmtId="9" fontId="17" fillId="0" borderId="8" xfId="0" applyNumberFormat="1" applyFont="1" applyBorder="1" applyAlignment="1">
      <alignment wrapText="1"/>
    </xf>
    <xf numFmtId="0" fontId="17" fillId="0" borderId="8" xfId="0" applyFont="1" applyBorder="1"/>
    <xf numFmtId="0" fontId="17" fillId="0" borderId="11" xfId="0" applyFont="1" applyBorder="1" applyAlignment="1">
      <alignment horizontal="center" vertical="center" wrapText="1" readingOrder="2"/>
    </xf>
    <xf numFmtId="3" fontId="17" fillId="0" borderId="12" xfId="0" applyNumberFormat="1" applyFont="1" applyBorder="1" applyAlignment="1">
      <alignment wrapText="1"/>
    </xf>
    <xf numFmtId="3" fontId="17" fillId="0" borderId="0" xfId="0" applyNumberFormat="1" applyFont="1"/>
    <xf numFmtId="3" fontId="2" fillId="0" borderId="12" xfId="0" applyNumberFormat="1" applyFont="1" applyBorder="1"/>
    <xf numFmtId="0" fontId="17" fillId="0" borderId="11" xfId="0" applyFont="1" applyBorder="1" applyAlignment="1">
      <alignment horizontal="right" wrapText="1" readingOrder="2"/>
    </xf>
    <xf numFmtId="10" fontId="17" fillId="0" borderId="17" xfId="0" applyNumberFormat="1" applyFont="1" applyBorder="1" applyAlignment="1">
      <alignment horizontal="right" wrapText="1"/>
    </xf>
    <xf numFmtId="0" fontId="17" fillId="0" borderId="12" xfId="0" applyFont="1" applyBorder="1" applyAlignment="1">
      <alignment horizontal="right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38" fontId="17" fillId="0" borderId="17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17" fillId="0" borderId="17" xfId="0" applyFont="1" applyBorder="1" applyAlignment="1">
      <alignment horizontal="right" wrapText="1" readingOrder="2"/>
    </xf>
    <xf numFmtId="0" fontId="17" fillId="0" borderId="17" xfId="0" applyFont="1" applyBorder="1" applyAlignment="1">
      <alignment horizontal="center" vertical="center" wrapText="1" readingOrder="2"/>
    </xf>
    <xf numFmtId="0" fontId="17" fillId="0" borderId="11" xfId="0" applyFont="1" applyBorder="1" applyAlignment="1">
      <alignment horizontal="right"/>
    </xf>
    <xf numFmtId="0" fontId="17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right"/>
    </xf>
    <xf numFmtId="0" fontId="19" fillId="0" borderId="0" xfId="0" applyFont="1"/>
    <xf numFmtId="38" fontId="18" fillId="0" borderId="0" xfId="0" applyNumberFormat="1" applyFont="1" applyAlignment="1">
      <alignment horizontal="right"/>
    </xf>
    <xf numFmtId="0" fontId="17" fillId="0" borderId="8" xfId="0" applyFont="1" applyBorder="1" applyAlignment="1">
      <alignment horizontal="right" wrapText="1"/>
    </xf>
    <xf numFmtId="0" fontId="19" fillId="0" borderId="8" xfId="0" applyFont="1" applyBorder="1" applyAlignment="1">
      <alignment horizontal="right" wrapText="1"/>
    </xf>
    <xf numFmtId="38" fontId="2" fillId="0" borderId="8" xfId="0" applyNumberFormat="1" applyFont="1" applyBorder="1" applyAlignment="1">
      <alignment horizontal="right" wrapText="1"/>
    </xf>
    <xf numFmtId="168" fontId="2" fillId="0" borderId="8" xfId="0" applyNumberFormat="1" applyFont="1" applyBorder="1"/>
    <xf numFmtId="167" fontId="2" fillId="0" borderId="8" xfId="0" applyNumberFormat="1" applyFont="1" applyBorder="1" applyAlignment="1">
      <alignment horizontal="right"/>
    </xf>
    <xf numFmtId="38" fontId="2" fillId="0" borderId="8" xfId="0" applyNumberFormat="1" applyFont="1" applyBorder="1" applyAlignment="1">
      <alignment horizontal="center"/>
    </xf>
    <xf numFmtId="38" fontId="2" fillId="0" borderId="8" xfId="0" applyNumberFormat="1" applyFont="1" applyBorder="1" applyAlignment="1">
      <alignment horizontal="right"/>
    </xf>
    <xf numFmtId="169" fontId="2" fillId="0" borderId="8" xfId="0" applyNumberFormat="1" applyFont="1" applyBorder="1"/>
    <xf numFmtId="0" fontId="17" fillId="0" borderId="12" xfId="0" applyFont="1" applyBorder="1" applyAlignment="1">
      <alignment horizontal="center"/>
    </xf>
    <xf numFmtId="167" fontId="17" fillId="0" borderId="8" xfId="0" applyNumberFormat="1" applyFont="1" applyBorder="1" applyAlignment="1">
      <alignment horizontal="right"/>
    </xf>
    <xf numFmtId="38" fontId="17" fillId="0" borderId="8" xfId="0" applyNumberFormat="1" applyFont="1" applyBorder="1" applyAlignment="1">
      <alignment horizontal="right"/>
    </xf>
    <xf numFmtId="38" fontId="17" fillId="0" borderId="0" xfId="0" applyNumberFormat="1" applyFont="1"/>
    <xf numFmtId="38" fontId="17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6" fontId="2" fillId="0" borderId="8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6" fontId="17" fillId="0" borderId="8" xfId="0" applyNumberFormat="1" applyFont="1" applyBorder="1" applyAlignment="1">
      <alignment horizontal="right"/>
    </xf>
    <xf numFmtId="9" fontId="17" fillId="0" borderId="8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17" xfId="0" applyFont="1" applyBorder="1" applyAlignment="1"/>
    <xf numFmtId="38" fontId="17" fillId="0" borderId="17" xfId="0" applyNumberFormat="1" applyFont="1" applyBorder="1" applyAlignment="1"/>
    <xf numFmtId="38" fontId="17" fillId="0" borderId="17" xfId="0" applyNumberFormat="1" applyFont="1" applyBorder="1" applyAlignment="1">
      <alignment readingOrder="2"/>
    </xf>
    <xf numFmtId="38" fontId="2" fillId="0" borderId="8" xfId="0" applyNumberFormat="1" applyFont="1" applyBorder="1" applyAlignment="1">
      <alignment wrapText="1" readingOrder="2"/>
    </xf>
    <xf numFmtId="38" fontId="17" fillId="0" borderId="12" xfId="0" applyNumberFormat="1" applyFont="1" applyBorder="1" applyAlignment="1"/>
    <xf numFmtId="166" fontId="17" fillId="0" borderId="17" xfId="0" applyNumberFormat="1" applyFont="1" applyBorder="1" applyAlignment="1"/>
    <xf numFmtId="0" fontId="0" fillId="0" borderId="0" xfId="0" applyAlignment="1"/>
    <xf numFmtId="0" fontId="2" fillId="0" borderId="8" xfId="0" applyFont="1" applyFill="1" applyBorder="1" applyAlignment="1">
      <alignment horizontal="right" wrapText="1" readingOrder="2"/>
    </xf>
    <xf numFmtId="38" fontId="2" fillId="0" borderId="8" xfId="0" applyNumberFormat="1" applyFont="1" applyFill="1" applyBorder="1" applyAlignment="1">
      <alignment wrapText="1" readingOrder="2"/>
    </xf>
    <xf numFmtId="14" fontId="2" fillId="0" borderId="14" xfId="0" applyNumberFormat="1" applyFont="1" applyFill="1" applyBorder="1" applyAlignment="1">
      <alignment vertical="center"/>
    </xf>
    <xf numFmtId="14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17" fillId="0" borderId="8" xfId="0" applyNumberFormat="1" applyFont="1" applyFill="1" applyBorder="1" applyAlignment="1">
      <alignment wrapText="1"/>
    </xf>
    <xf numFmtId="9" fontId="17" fillId="0" borderId="8" xfId="0" applyNumberFormat="1" applyFont="1" applyFill="1" applyBorder="1" applyAlignment="1">
      <alignment wrapText="1"/>
    </xf>
    <xf numFmtId="3" fontId="17" fillId="0" borderId="12" xfId="0" applyNumberFormat="1" applyFont="1" applyFill="1" applyBorder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readingOrder="1"/>
    </xf>
    <xf numFmtId="0" fontId="0" fillId="0" borderId="0" xfId="0" applyFill="1" applyAlignment="1"/>
    <xf numFmtId="0" fontId="17" fillId="0" borderId="0" xfId="0" applyFont="1" applyFill="1" applyAlignment="1">
      <alignment vertical="center"/>
    </xf>
    <xf numFmtId="0" fontId="2" fillId="0" borderId="11" xfId="0" applyFont="1" applyFill="1" applyBorder="1" applyAlignment="1"/>
    <xf numFmtId="0" fontId="2" fillId="0" borderId="17" xfId="0" applyFont="1" applyFill="1" applyBorder="1" applyAlignment="1"/>
    <xf numFmtId="0" fontId="2" fillId="0" borderId="12" xfId="0" applyFont="1" applyFill="1" applyBorder="1" applyAlignment="1"/>
    <xf numFmtId="0" fontId="2" fillId="0" borderId="8" xfId="0" applyFont="1" applyFill="1" applyBorder="1" applyAlignment="1">
      <alignment wrapText="1" readingOrder="2"/>
    </xf>
    <xf numFmtId="10" fontId="2" fillId="0" borderId="8" xfId="0" applyNumberFormat="1" applyFont="1" applyFill="1" applyBorder="1" applyAlignment="1">
      <alignment wrapText="1"/>
    </xf>
    <xf numFmtId="0" fontId="17" fillId="0" borderId="8" xfId="0" applyFont="1" applyFill="1" applyBorder="1" applyAlignment="1"/>
    <xf numFmtId="0" fontId="17" fillId="0" borderId="15" xfId="0" applyFont="1" applyFill="1" applyBorder="1" applyAlignment="1"/>
    <xf numFmtId="38" fontId="17" fillId="0" borderId="15" xfId="0" applyNumberFormat="1" applyFont="1" applyFill="1" applyBorder="1" applyAlignment="1"/>
    <xf numFmtId="38" fontId="17" fillId="0" borderId="15" xfId="0" applyNumberFormat="1" applyFont="1" applyFill="1" applyBorder="1" applyAlignment="1">
      <alignment readingOrder="2"/>
    </xf>
    <xf numFmtId="3" fontId="2" fillId="0" borderId="16" xfId="0" applyNumberFormat="1" applyFont="1" applyFill="1" applyBorder="1" applyAlignment="1"/>
    <xf numFmtId="0" fontId="17" fillId="0" borderId="11" xfId="0" applyFont="1" applyFill="1" applyBorder="1" applyAlignment="1">
      <alignment wrapText="1" readingOrder="2"/>
    </xf>
    <xf numFmtId="0" fontId="17" fillId="0" borderId="17" xfId="0" applyFont="1" applyFill="1" applyBorder="1" applyAlignment="1"/>
    <xf numFmtId="10" fontId="17" fillId="0" borderId="17" xfId="0" applyNumberFormat="1" applyFont="1" applyFill="1" applyBorder="1" applyAlignment="1">
      <alignment wrapText="1"/>
    </xf>
    <xf numFmtId="0" fontId="17" fillId="0" borderId="0" xfId="0" applyFont="1" applyFill="1" applyAlignment="1"/>
    <xf numFmtId="0" fontId="17" fillId="0" borderId="11" xfId="0" applyFont="1" applyFill="1" applyBorder="1" applyAlignment="1">
      <alignment vertical="center" wrapText="1" readingOrder="2"/>
    </xf>
    <xf numFmtId="0" fontId="17" fillId="0" borderId="17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38" fontId="18" fillId="0" borderId="8" xfId="0" applyNumberFormat="1" applyFont="1" applyFill="1" applyBorder="1" applyAlignment="1">
      <alignment wrapText="1" readingOrder="2"/>
    </xf>
    <xf numFmtId="0" fontId="17" fillId="0" borderId="8" xfId="0" applyFont="1" applyFill="1" applyBorder="1" applyAlignment="1">
      <alignment wrapText="1" readingOrder="2"/>
    </xf>
    <xf numFmtId="38" fontId="17" fillId="0" borderId="17" xfId="0" applyNumberFormat="1" applyFont="1" applyFill="1" applyBorder="1" applyAlignment="1"/>
    <xf numFmtId="3" fontId="2" fillId="0" borderId="12" xfId="0" applyNumberFormat="1" applyFont="1" applyFill="1" applyBorder="1" applyAlignment="1"/>
    <xf numFmtId="38" fontId="17" fillId="0" borderId="8" xfId="0" applyNumberFormat="1" applyFont="1" applyFill="1" applyBorder="1" applyAlignment="1">
      <alignment wrapText="1" readingOrder="2"/>
    </xf>
    <xf numFmtId="38" fontId="17" fillId="0" borderId="12" xfId="0" applyNumberFormat="1" applyFont="1" applyFill="1" applyBorder="1" applyAlignment="1"/>
    <xf numFmtId="38" fontId="17" fillId="0" borderId="17" xfId="0" applyNumberFormat="1" applyFont="1" applyFill="1" applyBorder="1" applyAlignment="1">
      <alignment readingOrder="2"/>
    </xf>
    <xf numFmtId="166" fontId="17" fillId="0" borderId="17" xfId="0" applyNumberFormat="1" applyFont="1" applyFill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8" xfId="0" applyFont="1" applyBorder="1" applyAlignment="1">
      <alignment wrapText="1" readingOrder="2"/>
    </xf>
    <xf numFmtId="10" fontId="2" fillId="0" borderId="8" xfId="0" applyNumberFormat="1" applyFont="1" applyBorder="1" applyAlignment="1">
      <alignment wrapText="1"/>
    </xf>
    <xf numFmtId="0" fontId="17" fillId="0" borderId="8" xfId="0" applyFont="1" applyBorder="1" applyAlignment="1"/>
    <xf numFmtId="0" fontId="17" fillId="0" borderId="17" xfId="0" applyFont="1" applyBorder="1" applyAlignment="1"/>
    <xf numFmtId="0" fontId="17" fillId="0" borderId="12" xfId="0" applyFont="1" applyBorder="1" applyAlignment="1">
      <alignment vertical="center"/>
    </xf>
    <xf numFmtId="0" fontId="17" fillId="0" borderId="0" xfId="0" applyFont="1" applyAlignment="1"/>
    <xf numFmtId="0" fontId="17" fillId="0" borderId="11" xfId="0" applyFont="1" applyBorder="1" applyAlignment="1">
      <alignment readingOrder="2"/>
    </xf>
    <xf numFmtId="0" fontId="17" fillId="0" borderId="17" xfId="0" applyFont="1" applyBorder="1" applyAlignment="1">
      <alignment readingOrder="2"/>
    </xf>
    <xf numFmtId="10" fontId="17" fillId="0" borderId="17" xfId="0" applyNumberFormat="1" applyFont="1" applyBorder="1" applyAlignment="1"/>
    <xf numFmtId="0" fontId="17" fillId="0" borderId="11" xfId="0" applyFont="1" applyBorder="1" applyAlignment="1">
      <alignment vertical="center" readingOrder="2"/>
    </xf>
    <xf numFmtId="0" fontId="17" fillId="0" borderId="17" xfId="0" applyFont="1" applyBorder="1" applyAlignment="1">
      <alignment vertical="center" readingOrder="2"/>
    </xf>
    <xf numFmtId="0" fontId="17" fillId="0" borderId="17" xfId="0" applyFont="1" applyBorder="1" applyAlignment="1">
      <alignment vertical="center"/>
    </xf>
    <xf numFmtId="1" fontId="2" fillId="0" borderId="8" xfId="0" applyNumberFormat="1" applyFont="1" applyBorder="1" applyAlignment="1"/>
    <xf numFmtId="0" fontId="17" fillId="0" borderId="8" xfId="0" applyFont="1" applyBorder="1" applyAlignment="1">
      <alignment wrapText="1" readingOrder="2"/>
    </xf>
    <xf numFmtId="0" fontId="17" fillId="0" borderId="11" xfId="0" applyFont="1" applyBorder="1" applyAlignment="1">
      <alignment vertical="center" wrapText="1" readingOrder="2"/>
    </xf>
    <xf numFmtId="3" fontId="2" fillId="0" borderId="12" xfId="0" applyNumberFormat="1" applyFont="1" applyBorder="1" applyAlignment="1"/>
    <xf numFmtId="0" fontId="17" fillId="0" borderId="11" xfId="0" applyFont="1" applyBorder="1" applyAlignment="1">
      <alignment wrapText="1" readingOrder="2"/>
    </xf>
    <xf numFmtId="10" fontId="17" fillId="0" borderId="17" xfId="0" applyNumberFormat="1" applyFont="1" applyBorder="1" applyAlignment="1">
      <alignment wrapText="1"/>
    </xf>
    <xf numFmtId="0" fontId="17" fillId="0" borderId="1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4" fillId="0" borderId="15" xfId="0" applyFont="1" applyFill="1" applyBorder="1" applyAlignment="1"/>
    <xf numFmtId="0" fontId="24" fillId="0" borderId="17" xfId="0" applyFont="1" applyFill="1" applyBorder="1" applyAlignment="1"/>
    <xf numFmtId="0" fontId="18" fillId="0" borderId="17" xfId="0" applyFont="1" applyBorder="1" applyAlignment="1"/>
    <xf numFmtId="0" fontId="2" fillId="0" borderId="8" xfId="0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horizontal="right"/>
    </xf>
    <xf numFmtId="0" fontId="23" fillId="0" borderId="8" xfId="0" applyFont="1" applyBorder="1" applyAlignment="1">
      <alignment horizontal="right" wrapText="1" readingOrder="2"/>
    </xf>
    <xf numFmtId="38" fontId="23" fillId="0" borderId="8" xfId="0" applyNumberFormat="1" applyFont="1" applyBorder="1" applyAlignment="1">
      <alignment horizontal="right" wrapText="1" readingOrder="2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4" fontId="2" fillId="0" borderId="16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right"/>
    </xf>
    <xf numFmtId="0" fontId="17" fillId="0" borderId="12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2" fontId="23" fillId="0" borderId="8" xfId="0" applyNumberFormat="1" applyFont="1" applyBorder="1" applyAlignment="1">
      <alignment horizontal="right"/>
    </xf>
    <xf numFmtId="14" fontId="2" fillId="4" borderId="16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17" fillId="0" borderId="12" xfId="0" applyFont="1" applyFill="1" applyBorder="1" applyAlignment="1">
      <alignment vertical="center"/>
    </xf>
    <xf numFmtId="38" fontId="24" fillId="0" borderId="8" xfId="0" applyNumberFormat="1" applyFont="1" applyFill="1" applyBorder="1" applyAlignment="1">
      <alignment wrapText="1" readingOrder="2"/>
    </xf>
    <xf numFmtId="0" fontId="8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9" xfId="0" applyFont="1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23" fillId="0" borderId="3" xfId="0" applyFont="1" applyBorder="1"/>
    <xf numFmtId="165" fontId="2" fillId="0" borderId="3" xfId="0" applyNumberFormat="1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1" xfId="0" applyBorder="1"/>
    <xf numFmtId="0" fontId="0" fillId="0" borderId="22" xfId="0" applyBorder="1"/>
    <xf numFmtId="0" fontId="23" fillId="0" borderId="12" xfId="0" applyFont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/>
    </xf>
    <xf numFmtId="0" fontId="23" fillId="0" borderId="8" xfId="0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17" fillId="0" borderId="17" xfId="0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 wrapText="1" readingOrder="2"/>
    </xf>
    <xf numFmtId="38" fontId="18" fillId="0" borderId="8" xfId="0" applyNumberFormat="1" applyFont="1" applyFill="1" applyBorder="1" applyAlignment="1">
      <alignment horizontal="right" wrapText="1" readingOrder="2"/>
    </xf>
    <xf numFmtId="0" fontId="17" fillId="0" borderId="17" xfId="0" applyFont="1" applyFill="1" applyBorder="1" applyAlignment="1">
      <alignment horizontal="right" wrapText="1"/>
    </xf>
    <xf numFmtId="0" fontId="23" fillId="0" borderId="8" xfId="0" applyFont="1" applyBorder="1" applyAlignment="1">
      <alignment vertical="center" wrapText="1"/>
    </xf>
    <xf numFmtId="0" fontId="23" fillId="0" borderId="16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wrapText="1" readingOrder="2"/>
    </xf>
    <xf numFmtId="14" fontId="2" fillId="4" borderId="8" xfId="0" applyNumberFormat="1" applyFont="1" applyFill="1" applyBorder="1" applyProtection="1">
      <protection locked="0"/>
    </xf>
    <xf numFmtId="165" fontId="23" fillId="4" borderId="8" xfId="0" applyNumberFormat="1" applyFont="1" applyFill="1" applyBorder="1" applyProtection="1">
      <protection locked="0"/>
    </xf>
    <xf numFmtId="165" fontId="2" fillId="4" borderId="8" xfId="0" applyNumberFormat="1" applyFont="1" applyFill="1" applyBorder="1" applyProtection="1">
      <protection locked="0"/>
    </xf>
    <xf numFmtId="165" fontId="2" fillId="4" borderId="8" xfId="0" applyNumberFormat="1" applyFont="1" applyFill="1" applyBorder="1" applyAlignment="1" applyProtection="1">
      <alignment horizontal="right"/>
      <protection locked="0"/>
    </xf>
    <xf numFmtId="165" fontId="14" fillId="4" borderId="8" xfId="0" applyNumberFormat="1" applyFont="1" applyFill="1" applyBorder="1" applyAlignment="1" applyProtection="1">
      <alignment horizontal="right"/>
      <protection locked="0"/>
    </xf>
    <xf numFmtId="167" fontId="2" fillId="4" borderId="8" xfId="0" applyNumberFormat="1" applyFont="1" applyFill="1" applyBorder="1" applyProtection="1">
      <protection locked="0"/>
    </xf>
    <xf numFmtId="1" fontId="2" fillId="4" borderId="8" xfId="0" applyNumberFormat="1" applyFont="1" applyFill="1" applyBorder="1" applyAlignment="1" applyProtection="1">
      <alignment wrapText="1"/>
      <protection locked="0"/>
    </xf>
    <xf numFmtId="14" fontId="2" fillId="4" borderId="8" xfId="0" applyNumberFormat="1" applyFont="1" applyFill="1" applyBorder="1" applyAlignment="1" applyProtection="1">
      <alignment horizontal="right" wrapText="1"/>
      <protection locked="0"/>
    </xf>
    <xf numFmtId="1" fontId="2" fillId="5" borderId="8" xfId="0" applyNumberFormat="1" applyFont="1" applyFill="1" applyBorder="1" applyProtection="1">
      <protection locked="0"/>
    </xf>
    <xf numFmtId="0" fontId="2" fillId="5" borderId="8" xfId="0" applyFont="1" applyFill="1" applyBorder="1" applyAlignment="1" applyProtection="1">
      <alignment horizontal="right"/>
      <protection locked="0"/>
    </xf>
    <xf numFmtId="1" fontId="2" fillId="5" borderId="8" xfId="0" applyNumberFormat="1" applyFont="1" applyFill="1" applyBorder="1" applyAlignment="1" applyProtection="1">
      <protection locked="0"/>
    </xf>
    <xf numFmtId="0" fontId="2" fillId="5" borderId="8" xfId="0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wrapText="1"/>
    </xf>
    <xf numFmtId="165" fontId="2" fillId="5" borderId="8" xfId="0" applyNumberFormat="1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6" fontId="21" fillId="5" borderId="8" xfId="0" applyNumberFormat="1" applyFont="1" applyFill="1" applyBorder="1" applyAlignment="1" applyProtection="1">
      <alignment horizontal="right"/>
      <protection locked="0"/>
    </xf>
    <xf numFmtId="0" fontId="23" fillId="0" borderId="8" xfId="0" applyFont="1" applyFill="1" applyBorder="1" applyAlignment="1">
      <alignment wrapText="1" readingOrder="2"/>
    </xf>
    <xf numFmtId="38" fontId="23" fillId="0" borderId="8" xfId="0" applyNumberFormat="1" applyFont="1" applyFill="1" applyBorder="1" applyAlignment="1">
      <alignment horizontal="right" wrapText="1" readingOrder="2"/>
    </xf>
    <xf numFmtId="0" fontId="25" fillId="0" borderId="3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right" vertical="center"/>
    </xf>
    <xf numFmtId="0" fontId="29" fillId="3" borderId="3" xfId="0" applyFont="1" applyFill="1" applyBorder="1" applyAlignment="1">
      <alignment horizontal="right" vertical="center" readingOrder="2"/>
    </xf>
    <xf numFmtId="0" fontId="30" fillId="0" borderId="0" xfId="0" applyFont="1"/>
    <xf numFmtId="0" fontId="28" fillId="0" borderId="0" xfId="0" applyFont="1" applyAlignment="1">
      <alignment horizontal="right" vertical="center" readingOrder="2"/>
    </xf>
    <xf numFmtId="0" fontId="31" fillId="3" borderId="3" xfId="0" applyFont="1" applyFill="1" applyBorder="1" applyAlignment="1">
      <alignment horizontal="right" vertical="center" readingOrder="2"/>
    </xf>
    <xf numFmtId="0" fontId="26" fillId="3" borderId="3" xfId="0" applyFont="1" applyFill="1" applyBorder="1"/>
    <xf numFmtId="0" fontId="28" fillId="3" borderId="3" xfId="0" applyFont="1" applyFill="1" applyBorder="1" applyAlignment="1">
      <alignment horizontal="right" vertical="center" readingOrder="2"/>
    </xf>
    <xf numFmtId="0" fontId="28" fillId="6" borderId="0" xfId="0" applyFont="1" applyFill="1" applyAlignment="1">
      <alignment horizontal="right" vertical="center" readingOrder="2"/>
    </xf>
    <xf numFmtId="0" fontId="32" fillId="3" borderId="3" xfId="0" applyFont="1" applyFill="1" applyBorder="1" applyAlignment="1">
      <alignment horizontal="right" vertical="center" readingOrder="2"/>
    </xf>
    <xf numFmtId="0" fontId="33" fillId="0" borderId="8" xfId="0" applyFont="1" applyBorder="1" applyAlignment="1">
      <alignment horizontal="right" wrapText="1" readingOrder="2"/>
    </xf>
    <xf numFmtId="170" fontId="27" fillId="0" borderId="0" xfId="0" applyNumberFormat="1" applyFont="1"/>
    <xf numFmtId="0" fontId="16" fillId="0" borderId="5" xfId="0" applyFont="1" applyBorder="1"/>
    <xf numFmtId="165" fontId="2" fillId="4" borderId="13" xfId="0" applyNumberFormat="1" applyFont="1" applyFill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18" xfId="0" applyFont="1" applyBorder="1" applyProtection="1">
      <protection locked="0"/>
    </xf>
  </cellXfs>
  <cellStyles count="5">
    <cellStyle name="Comma 2" xfId="3"/>
    <cellStyle name="Currency 2" xfId="2"/>
    <cellStyle name="Normal" xfId="0" builtinId="0"/>
    <cellStyle name="Normal 2" xfId="1"/>
    <cellStyle name="Percent 2" xfId="4"/>
  </cellStyles>
  <dxfs count="14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2</xdr:row>
      <xdr:rowOff>19050</xdr:rowOff>
    </xdr:from>
    <xdr:to>
      <xdr:col>6</xdr:col>
      <xdr:colOff>228600</xdr:colOff>
      <xdr:row>7</xdr:row>
      <xdr:rowOff>116031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A298BF-5B4D-4922-A01F-4FF251801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0673350" y="400050"/>
          <a:ext cx="1428750" cy="13161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0</xdr:row>
      <xdr:rowOff>104775</xdr:rowOff>
    </xdr:from>
    <xdr:to>
      <xdr:col>3</xdr:col>
      <xdr:colOff>447675</xdr:colOff>
      <xdr:row>7</xdr:row>
      <xdr:rowOff>87456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7D0174-FBFE-4917-A01F-FDDE11A7E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4245225" y="104775"/>
          <a:ext cx="1428750" cy="1316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146628</xdr:rowOff>
    </xdr:from>
    <xdr:to>
      <xdr:col>1</xdr:col>
      <xdr:colOff>1219200</xdr:colOff>
      <xdr:row>6</xdr:row>
      <xdr:rowOff>170642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B1919B-C7C2-424A-8906-108CDFBAE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6074025" y="146628"/>
          <a:ext cx="1266825" cy="1167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showGridLines="0" rightToLeft="1" workbookViewId="0"/>
  </sheetViews>
  <sheetFormatPr defaultColWidth="12.58203125" defaultRowHeight="15" customHeight="1" x14ac:dyDescent="0.3"/>
  <cols>
    <col min="1" max="1" width="2.75" customWidth="1"/>
    <col min="2" max="2" width="4.5" customWidth="1"/>
    <col min="3" max="5" width="9" customWidth="1"/>
    <col min="6" max="7" width="10.75" customWidth="1"/>
    <col min="8" max="10" width="9" customWidth="1"/>
    <col min="11" max="11" width="12.25" customWidth="1"/>
    <col min="12" max="26" width="9" customWidth="1"/>
  </cols>
  <sheetData>
    <row r="3" spans="2:11" ht="20" x14ac:dyDescent="0.4">
      <c r="C3" s="2"/>
      <c r="D3" s="1"/>
      <c r="E3" s="1"/>
      <c r="F3" s="1"/>
    </row>
    <row r="4" spans="2:11" ht="14" x14ac:dyDescent="0.3">
      <c r="C4" s="1"/>
      <c r="D4" s="1"/>
      <c r="F4" s="1"/>
    </row>
    <row r="5" spans="2:11" ht="20" x14ac:dyDescent="0.4">
      <c r="C5" s="2"/>
      <c r="D5" s="1"/>
      <c r="E5" s="1"/>
      <c r="F5" s="1"/>
    </row>
    <row r="6" spans="2:11" ht="20" x14ac:dyDescent="0.4">
      <c r="C6" s="2"/>
      <c r="D6" s="1"/>
      <c r="E6" s="1"/>
      <c r="F6" s="1"/>
    </row>
    <row r="7" spans="2:11" ht="20" x14ac:dyDescent="0.4">
      <c r="C7" s="2"/>
      <c r="D7" s="1"/>
      <c r="E7" s="1"/>
      <c r="F7" s="3"/>
    </row>
    <row r="8" spans="2:11" ht="15.5" x14ac:dyDescent="0.3">
      <c r="C8" s="4"/>
      <c r="D8" s="1"/>
      <c r="E8" s="1"/>
      <c r="F8" s="1"/>
    </row>
    <row r="9" spans="2:11" ht="14" x14ac:dyDescent="0.3">
      <c r="C9" s="5"/>
      <c r="D9" s="1"/>
      <c r="E9" s="1"/>
      <c r="F9" s="1"/>
    </row>
    <row r="10" spans="2:11" ht="15.5" x14ac:dyDescent="0.3">
      <c r="C10" s="4"/>
      <c r="D10" s="1"/>
      <c r="E10" s="1"/>
      <c r="F10" s="1"/>
    </row>
    <row r="11" spans="2:11" ht="17.5" x14ac:dyDescent="0.35">
      <c r="C11" s="4"/>
      <c r="D11" s="255" t="s">
        <v>304</v>
      </c>
      <c r="E11" s="1"/>
      <c r="F11" s="1"/>
      <c r="G11" s="266">
        <v>45778</v>
      </c>
    </row>
    <row r="12" spans="2:11" ht="15.5" x14ac:dyDescent="0.3">
      <c r="C12" s="4"/>
      <c r="D12" s="1"/>
      <c r="E12" s="1"/>
      <c r="F12" s="1"/>
    </row>
    <row r="13" spans="2:11" ht="15.5" x14ac:dyDescent="0.35">
      <c r="B13" s="258"/>
      <c r="C13" s="256" t="s">
        <v>294</v>
      </c>
      <c r="D13" s="254"/>
      <c r="E13" s="254"/>
      <c r="F13" s="258"/>
      <c r="G13" s="258"/>
      <c r="H13" s="258"/>
      <c r="I13" s="258"/>
      <c r="J13" s="258"/>
      <c r="K13" s="258"/>
    </row>
    <row r="14" spans="2:11" ht="15.5" x14ac:dyDescent="0.35">
      <c r="B14" s="258"/>
      <c r="C14" s="259" t="s">
        <v>293</v>
      </c>
      <c r="D14" s="254"/>
      <c r="E14" s="254"/>
      <c r="F14" s="254"/>
      <c r="G14" s="258"/>
      <c r="H14" s="258"/>
      <c r="I14" s="258"/>
      <c r="J14" s="258"/>
      <c r="K14" s="258"/>
    </row>
    <row r="15" spans="2:11" ht="15.5" x14ac:dyDescent="0.35">
      <c r="B15" s="258"/>
      <c r="C15" s="260"/>
      <c r="D15" s="261"/>
      <c r="E15" s="262"/>
      <c r="F15" s="262"/>
      <c r="G15" s="258"/>
      <c r="H15" s="258"/>
      <c r="I15" s="258"/>
      <c r="J15" s="258"/>
      <c r="K15" s="258"/>
    </row>
    <row r="16" spans="2:11" ht="15" customHeight="1" x14ac:dyDescent="0.35">
      <c r="B16" s="258"/>
      <c r="C16" s="263" t="s">
        <v>295</v>
      </c>
      <c r="D16" s="258"/>
      <c r="E16" s="258"/>
      <c r="F16" s="258"/>
      <c r="G16" s="258"/>
      <c r="H16" s="258"/>
      <c r="I16" s="258"/>
      <c r="J16" s="258"/>
      <c r="K16" s="258"/>
    </row>
    <row r="17" spans="3:3" ht="14" x14ac:dyDescent="0.3">
      <c r="C17" s="6"/>
    </row>
    <row r="18" spans="3:3" ht="17.5" x14ac:dyDescent="0.3">
      <c r="C18" s="264" t="s">
        <v>0</v>
      </c>
    </row>
    <row r="19" spans="3:3" ht="14" x14ac:dyDescent="0.3">
      <c r="C19" s="6" t="s">
        <v>1</v>
      </c>
    </row>
    <row r="20" spans="3:3" ht="14" x14ac:dyDescent="0.3">
      <c r="C20" s="257" t="s">
        <v>296</v>
      </c>
    </row>
    <row r="21" spans="3:3" ht="15.75" customHeight="1" x14ac:dyDescent="0.3">
      <c r="C21" s="7"/>
    </row>
    <row r="22" spans="3:3" ht="15.75" customHeight="1" x14ac:dyDescent="0.3">
      <c r="C22" s="8" t="s">
        <v>2</v>
      </c>
    </row>
    <row r="23" spans="3:3" ht="15.75" customHeight="1" x14ac:dyDescent="0.3">
      <c r="C23" s="6"/>
    </row>
    <row r="24" spans="3:3" ht="15.75" customHeight="1" x14ac:dyDescent="0.3">
      <c r="C24" s="8" t="s">
        <v>3</v>
      </c>
    </row>
    <row r="25" spans="3:3" ht="15.75" customHeight="1" x14ac:dyDescent="0.3">
      <c r="C25" s="9"/>
    </row>
    <row r="26" spans="3:3" ht="15.75" customHeight="1" x14ac:dyDescent="0.3">
      <c r="C26" s="8" t="s">
        <v>4</v>
      </c>
    </row>
    <row r="27" spans="3:3" ht="15.75" customHeight="1" x14ac:dyDescent="0.3">
      <c r="C27" s="6"/>
    </row>
    <row r="28" spans="3:3" ht="15.75" customHeight="1" x14ac:dyDescent="0.3">
      <c r="C28" s="10" t="s">
        <v>5</v>
      </c>
    </row>
  </sheetData>
  <sheetProtection algorithmName="SHA-512" hashValue="QF2p2T29T0BdfHRjD9x0tIhTLrW3/cjgerXMOSkxfA6MsuzMbfThZQrO6AKVcOQHfhB4aE3oEu3u3cnAlNrbtA==" saltValue="zdVI8b+eMft/HO8KNml0gw==" spinCount="100000" sheet="1" objects="1" scenarios="1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51"/>
  <sheetViews>
    <sheetView showGridLines="0" rightToLeft="1" zoomScaleNormal="100" workbookViewId="0"/>
  </sheetViews>
  <sheetFormatPr defaultColWidth="12.58203125" defaultRowHeight="15" customHeight="1" x14ac:dyDescent="0.3"/>
  <cols>
    <col min="1" max="1" width="3.25" customWidth="1"/>
    <col min="2" max="2" width="5" customWidth="1"/>
    <col min="3" max="3" width="34.33203125" customWidth="1"/>
    <col min="4" max="4" width="20" customWidth="1"/>
    <col min="5" max="5" width="17.25" customWidth="1"/>
    <col min="6" max="26" width="9.08203125" customWidth="1"/>
  </cols>
  <sheetData>
    <row r="1" spans="2:5" ht="15" customHeight="1" thickBot="1" x14ac:dyDescent="0.35"/>
    <row r="2" spans="2:5" ht="17.5" x14ac:dyDescent="0.35">
      <c r="B2" s="12"/>
      <c r="C2" s="267" t="str">
        <f>פתיח!$D$11</f>
        <v xml:space="preserve">תקן הצטיידות לבריכות טיפוליות </v>
      </c>
      <c r="D2" s="13"/>
      <c r="E2" s="14"/>
    </row>
    <row r="3" spans="2:5" ht="18" x14ac:dyDescent="0.4">
      <c r="B3" s="15"/>
      <c r="C3" s="203" t="s">
        <v>6</v>
      </c>
      <c r="D3" s="204"/>
      <c r="E3" s="205"/>
    </row>
    <row r="4" spans="2:5" ht="18" x14ac:dyDescent="0.4">
      <c r="B4" s="16" t="s">
        <v>7</v>
      </c>
      <c r="C4" s="204"/>
      <c r="D4" s="206"/>
      <c r="E4" s="205"/>
    </row>
    <row r="5" spans="2:5" ht="14" x14ac:dyDescent="0.3">
      <c r="B5" s="17"/>
      <c r="C5" s="207" t="s">
        <v>8</v>
      </c>
      <c r="D5" s="234"/>
      <c r="E5" s="18" t="str">
        <f>IF(D5="","יש למלא","")</f>
        <v>יש למלא</v>
      </c>
    </row>
    <row r="6" spans="2:5" ht="14" x14ac:dyDescent="0.3">
      <c r="B6" s="17"/>
      <c r="C6" s="208"/>
      <c r="D6" s="207"/>
      <c r="E6" s="209"/>
    </row>
    <row r="7" spans="2:5" ht="14" x14ac:dyDescent="0.3">
      <c r="B7" s="17"/>
      <c r="C7" s="207" t="s">
        <v>9</v>
      </c>
      <c r="D7" s="235"/>
      <c r="E7" s="18" t="str">
        <f>IF(D7="","יש למלא","")</f>
        <v>יש למלא</v>
      </c>
    </row>
    <row r="8" spans="2:5" ht="14" x14ac:dyDescent="0.3">
      <c r="B8" s="17"/>
      <c r="C8" s="207"/>
      <c r="D8" s="207"/>
      <c r="E8" s="209"/>
    </row>
    <row r="9" spans="2:5" ht="14" x14ac:dyDescent="0.3">
      <c r="B9" s="17"/>
      <c r="C9" s="207" t="s">
        <v>10</v>
      </c>
      <c r="D9" s="236"/>
      <c r="E9" s="18" t="str">
        <f>IF(D9="","יש למלא","")</f>
        <v>יש למלא</v>
      </c>
    </row>
    <row r="10" spans="2:5" ht="14" x14ac:dyDescent="0.3">
      <c r="B10" s="17"/>
      <c r="C10" s="207"/>
      <c r="D10" s="207"/>
      <c r="E10" s="209"/>
    </row>
    <row r="11" spans="2:5" ht="14" x14ac:dyDescent="0.3">
      <c r="B11" s="17"/>
      <c r="C11" s="207" t="s">
        <v>11</v>
      </c>
      <c r="D11" s="236"/>
      <c r="E11" s="18" t="str">
        <f>IF(D11="","יש למלא","")</f>
        <v>יש למלא</v>
      </c>
    </row>
    <row r="12" spans="2:5" ht="14" x14ac:dyDescent="0.3">
      <c r="B12" s="17"/>
      <c r="C12" s="207"/>
      <c r="D12" s="207"/>
      <c r="E12" s="209"/>
    </row>
    <row r="13" spans="2:5" ht="14" x14ac:dyDescent="0.3">
      <c r="B13" s="17"/>
      <c r="C13" s="207" t="s">
        <v>12</v>
      </c>
      <c r="D13" s="237"/>
      <c r="E13" s="18" t="str">
        <f>IF(D13="","יש למלא","")</f>
        <v>יש למלא</v>
      </c>
    </row>
    <row r="14" spans="2:5" ht="14" x14ac:dyDescent="0.3">
      <c r="B14" s="17"/>
      <c r="C14" s="207"/>
      <c r="D14" s="207"/>
      <c r="E14" s="209"/>
    </row>
    <row r="15" spans="2:5" ht="14" x14ac:dyDescent="0.3">
      <c r="B15" s="17"/>
      <c r="C15" s="207" t="s">
        <v>13</v>
      </c>
      <c r="D15" s="238"/>
      <c r="E15" s="18" t="str">
        <f>IF(D15="","יש למלא","")</f>
        <v>יש למלא</v>
      </c>
    </row>
    <row r="16" spans="2:5" ht="15" customHeight="1" thickBot="1" x14ac:dyDescent="0.35">
      <c r="B16" s="210"/>
      <c r="C16" s="211"/>
      <c r="D16" s="211"/>
      <c r="E16" s="212"/>
    </row>
    <row r="17" spans="2:5" ht="15.5" x14ac:dyDescent="0.35">
      <c r="B17" s="19" t="s">
        <v>14</v>
      </c>
      <c r="C17" s="20"/>
      <c r="D17" s="13"/>
      <c r="E17" s="14"/>
    </row>
    <row r="18" spans="2:5" ht="14" x14ac:dyDescent="0.3">
      <c r="B18" s="17"/>
      <c r="C18" s="207" t="s">
        <v>15</v>
      </c>
      <c r="D18" s="236"/>
      <c r="E18" s="18" t="str">
        <f>IF(D18="","יש למלא","")</f>
        <v>יש למלא</v>
      </c>
    </row>
    <row r="19" spans="2:5" ht="14" x14ac:dyDescent="0.3">
      <c r="B19" s="17"/>
      <c r="C19" s="208"/>
      <c r="D19" s="207"/>
      <c r="E19" s="209"/>
    </row>
    <row r="20" spans="2:5" ht="14" x14ac:dyDescent="0.3">
      <c r="B20" s="17"/>
      <c r="C20" s="207" t="s">
        <v>16</v>
      </c>
      <c r="D20" s="236"/>
      <c r="E20" s="18" t="str">
        <f>IF(D20="","יש למלא","")</f>
        <v>יש למלא</v>
      </c>
    </row>
    <row r="21" spans="2:5" ht="15.75" customHeight="1" x14ac:dyDescent="0.3">
      <c r="B21" s="17"/>
      <c r="C21" s="208"/>
      <c r="D21" s="207"/>
      <c r="E21" s="209"/>
    </row>
    <row r="22" spans="2:5" ht="15.75" customHeight="1" x14ac:dyDescent="0.3">
      <c r="B22" s="17"/>
      <c r="C22" s="207" t="s">
        <v>17</v>
      </c>
      <c r="D22" s="236"/>
      <c r="E22" s="18" t="str">
        <f>IF(D22="","יש למלא","")</f>
        <v>יש למלא</v>
      </c>
    </row>
    <row r="23" spans="2:5" ht="15.75" customHeight="1" x14ac:dyDescent="0.3">
      <c r="B23" s="17"/>
      <c r="C23" s="207"/>
      <c r="D23" s="207"/>
      <c r="E23" s="209"/>
    </row>
    <row r="24" spans="2:5" ht="15.75" customHeight="1" x14ac:dyDescent="0.3">
      <c r="B24" s="17"/>
      <c r="C24" s="208" t="s">
        <v>18</v>
      </c>
      <c r="D24" s="237"/>
      <c r="E24" s="18" t="str">
        <f>IF(D24="","יש למלא","")</f>
        <v>יש למלא</v>
      </c>
    </row>
    <row r="25" spans="2:5" ht="15.75" customHeight="1" x14ac:dyDescent="0.3">
      <c r="B25" s="17"/>
      <c r="C25" s="208"/>
      <c r="D25" s="207"/>
      <c r="E25" s="209"/>
    </row>
    <row r="26" spans="2:5" ht="15.75" customHeight="1" x14ac:dyDescent="0.3">
      <c r="B26" s="17"/>
      <c r="C26" s="207" t="s">
        <v>19</v>
      </c>
      <c r="D26" s="238"/>
      <c r="E26" s="18" t="str">
        <f>IF(D26="","יש למלא","")</f>
        <v>יש למלא</v>
      </c>
    </row>
    <row r="27" spans="2:5" ht="15.75" customHeight="1" thickBot="1" x14ac:dyDescent="0.35">
      <c r="B27" s="17"/>
      <c r="C27" s="207"/>
      <c r="D27" s="207"/>
      <c r="E27" s="209"/>
    </row>
    <row r="28" spans="2:5" ht="15.75" customHeight="1" x14ac:dyDescent="0.35">
      <c r="B28" s="19" t="s">
        <v>20</v>
      </c>
      <c r="C28" s="20"/>
      <c r="D28" s="13"/>
      <c r="E28" s="14"/>
    </row>
    <row r="29" spans="2:5" ht="15.75" customHeight="1" x14ac:dyDescent="0.3">
      <c r="B29" s="17"/>
      <c r="C29" s="225" t="s">
        <v>244</v>
      </c>
      <c r="D29" s="236"/>
      <c r="E29" s="18" t="str">
        <f>IF(D29="","יש לבחור מהרשימה","")</f>
        <v>יש לבחור מהרשימה</v>
      </c>
    </row>
    <row r="30" spans="2:5" ht="15.75" customHeight="1" x14ac:dyDescent="0.3">
      <c r="B30" s="17"/>
      <c r="C30" s="207"/>
      <c r="D30" s="214"/>
      <c r="E30" s="209"/>
    </row>
    <row r="31" spans="2:5" ht="15.75" customHeight="1" x14ac:dyDescent="0.3">
      <c r="B31" s="17"/>
      <c r="C31" s="225" t="s">
        <v>136</v>
      </c>
      <c r="D31" s="236"/>
      <c r="E31" s="18" t="str">
        <f>IF(D31="","יש לבחור מהרשימה","")</f>
        <v>יש לבחור מהרשימה</v>
      </c>
    </row>
    <row r="32" spans="2:5" ht="15.75" customHeight="1" x14ac:dyDescent="0.3">
      <c r="B32" s="17"/>
      <c r="C32" s="225"/>
      <c r="D32" s="214"/>
      <c r="E32" s="18"/>
    </row>
    <row r="33" spans="2:5" ht="15.75" customHeight="1" x14ac:dyDescent="0.3">
      <c r="B33" s="17"/>
      <c r="C33" s="252" t="s">
        <v>290</v>
      </c>
      <c r="D33" s="239"/>
      <c r="E33" s="18" t="str">
        <f>IF(D33="","יש למלא","")</f>
        <v>יש למלא</v>
      </c>
    </row>
    <row r="34" spans="2:5" ht="15" customHeight="1" x14ac:dyDescent="0.3">
      <c r="B34" s="17"/>
      <c r="C34" s="211"/>
      <c r="D34" s="214"/>
      <c r="E34" s="18"/>
    </row>
    <row r="35" spans="2:5" ht="15.75" customHeight="1" x14ac:dyDescent="0.3">
      <c r="B35" s="17"/>
      <c r="C35" s="208" t="s">
        <v>260</v>
      </c>
      <c r="D35" s="239"/>
      <c r="E35" s="18" t="str">
        <f>IF(D35="","יש למלא","")</f>
        <v>יש למלא</v>
      </c>
    </row>
    <row r="36" spans="2:5" ht="15.75" customHeight="1" x14ac:dyDescent="0.3">
      <c r="B36" s="17"/>
      <c r="C36" s="208"/>
      <c r="D36" s="214"/>
      <c r="E36" s="209"/>
    </row>
    <row r="37" spans="2:5" ht="15.75" customHeight="1" x14ac:dyDescent="0.3">
      <c r="B37" s="17"/>
      <c r="C37" s="213" t="s">
        <v>21</v>
      </c>
      <c r="D37" s="236"/>
      <c r="E37" s="18" t="str">
        <f>IF(D37="","יש למלא","")</f>
        <v>יש למלא</v>
      </c>
    </row>
    <row r="38" spans="2:5" ht="15.75" customHeight="1" x14ac:dyDescent="0.3">
      <c r="B38" s="17"/>
      <c r="C38" s="208"/>
      <c r="D38" s="214"/>
      <c r="E38" s="209"/>
    </row>
    <row r="39" spans="2:5" ht="15.75" customHeight="1" x14ac:dyDescent="0.3">
      <c r="B39" s="17"/>
      <c r="C39" s="213" t="s">
        <v>160</v>
      </c>
      <c r="D39" s="236"/>
      <c r="E39" s="18" t="str">
        <f>IF(D39="","יש למלא","")</f>
        <v>יש למלא</v>
      </c>
    </row>
    <row r="40" spans="2:5" ht="15.75" customHeight="1" x14ac:dyDescent="0.3">
      <c r="B40" s="17"/>
      <c r="C40" s="208"/>
      <c r="D40" s="214"/>
      <c r="E40" s="18"/>
    </row>
    <row r="41" spans="2:5" ht="15.75" customHeight="1" x14ac:dyDescent="0.3">
      <c r="B41" s="17"/>
      <c r="C41" s="213" t="s">
        <v>247</v>
      </c>
      <c r="D41" s="236"/>
      <c r="E41" s="18" t="str">
        <f>IF(D41="","יש למלא","")</f>
        <v>יש למלא</v>
      </c>
    </row>
    <row r="42" spans="2:5" ht="15.75" customHeight="1" x14ac:dyDescent="0.3">
      <c r="B42" s="17"/>
      <c r="C42" s="208"/>
      <c r="D42" s="214"/>
      <c r="E42" s="18"/>
    </row>
    <row r="43" spans="2:5" ht="15.75" customHeight="1" thickBot="1" x14ac:dyDescent="0.35">
      <c r="B43" s="17"/>
      <c r="C43" s="208"/>
      <c r="D43" s="208"/>
      <c r="E43" s="209"/>
    </row>
    <row r="44" spans="2:5" ht="15.75" customHeight="1" x14ac:dyDescent="0.35">
      <c r="B44" s="19" t="s">
        <v>22</v>
      </c>
      <c r="C44" s="21"/>
      <c r="D44" s="13"/>
      <c r="E44" s="14"/>
    </row>
    <row r="45" spans="2:5" ht="15.75" customHeight="1" x14ac:dyDescent="0.3">
      <c r="B45" s="17"/>
      <c r="C45" s="208" t="s">
        <v>23</v>
      </c>
      <c r="D45" s="207"/>
      <c r="E45" s="209"/>
    </row>
    <row r="46" spans="2:5" ht="15.75" customHeight="1" x14ac:dyDescent="0.3">
      <c r="B46" s="22"/>
      <c r="C46" s="208" t="s">
        <v>24</v>
      </c>
      <c r="D46" s="207"/>
      <c r="E46" s="209"/>
    </row>
    <row r="47" spans="2:5" ht="15.75" customHeight="1" x14ac:dyDescent="0.3">
      <c r="B47" s="17"/>
      <c r="C47" s="208" t="s">
        <v>25</v>
      </c>
      <c r="D47" s="207"/>
      <c r="E47" s="209"/>
    </row>
    <row r="48" spans="2:5" ht="15.75" customHeight="1" x14ac:dyDescent="0.3">
      <c r="B48" s="17"/>
      <c r="C48" s="213" t="s">
        <v>251</v>
      </c>
      <c r="D48" s="207"/>
      <c r="E48" s="209"/>
    </row>
    <row r="49" spans="2:5" ht="15.75" customHeight="1" x14ac:dyDescent="0.3">
      <c r="B49" s="17"/>
      <c r="C49" s="208" t="s">
        <v>26</v>
      </c>
      <c r="D49" s="207"/>
      <c r="E49" s="209"/>
    </row>
    <row r="50" spans="2:5" ht="15.75" customHeight="1" x14ac:dyDescent="0.3">
      <c r="B50" s="17"/>
      <c r="C50" s="208" t="s">
        <v>27</v>
      </c>
      <c r="D50" s="207"/>
      <c r="E50" s="209"/>
    </row>
    <row r="51" spans="2:5" ht="15.75" customHeight="1" thickBot="1" x14ac:dyDescent="0.35">
      <c r="B51" s="215"/>
      <c r="C51" s="216" t="s">
        <v>28</v>
      </c>
      <c r="D51" s="217"/>
      <c r="E51" s="218"/>
    </row>
  </sheetData>
  <sheetProtection algorithmName="SHA-512" hashValue="dtkkyBOzqQAumftmvZB2EnJ2r4neSpJrVfLFbKU9HdvYsDiaS4YiSCFuQ0s6yxMg60dziPPUCfL1LvIeu2J13g==" saltValue="bDifaesrGsBVV0jV0PUUPA==" spinCount="100000" sheet="1" formatCells="0" formatColumns="0" formatRows="0"/>
  <dataValidations count="2">
    <dataValidation type="list" allowBlank="1" showErrorMessage="1" sqref="D29">
      <formula1>"1,2,3,4,5,6,7,8,9,10"</formula1>
    </dataValidation>
    <dataValidation type="list" allowBlank="1" showErrorMessage="1" sqref="D31">
      <formula1>"כן,לא"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23"/>
  <sheetViews>
    <sheetView showGridLines="0" rightToLeft="1" workbookViewId="0"/>
  </sheetViews>
  <sheetFormatPr defaultColWidth="12.58203125" defaultRowHeight="15" customHeight="1" x14ac:dyDescent="0.3"/>
  <cols>
    <col min="1" max="1" width="3.08203125" customWidth="1"/>
    <col min="2" max="2" width="3.33203125" customWidth="1"/>
    <col min="3" max="3" width="39" customWidth="1"/>
    <col min="4" max="4" width="36.75" customWidth="1"/>
    <col min="5" max="26" width="9" customWidth="1"/>
  </cols>
  <sheetData>
    <row r="7" spans="2:4" ht="14" x14ac:dyDescent="0.3">
      <c r="B7" s="49" t="str">
        <f>פתיח!$D$11</f>
        <v xml:space="preserve">תקן הצטיידות לבריכות טיפוליות </v>
      </c>
      <c r="C7" s="1"/>
      <c r="D7" s="1"/>
    </row>
    <row r="8" spans="2:4" ht="17.5" x14ac:dyDescent="0.35">
      <c r="B8" s="23"/>
      <c r="C8" s="1"/>
      <c r="D8" s="1"/>
    </row>
    <row r="9" spans="2:4" ht="14" x14ac:dyDescent="0.3">
      <c r="B9" s="24"/>
      <c r="C9" s="25" t="s">
        <v>29</v>
      </c>
      <c r="D9" s="26" t="s">
        <v>30</v>
      </c>
    </row>
    <row r="10" spans="2:4" ht="14" x14ac:dyDescent="0.3">
      <c r="B10" s="27" t="s">
        <v>31</v>
      </c>
      <c r="C10" s="28"/>
      <c r="D10" s="29"/>
    </row>
    <row r="11" spans="2:4" ht="14" x14ac:dyDescent="0.3">
      <c r="B11" s="24"/>
      <c r="C11" s="30" t="s">
        <v>32</v>
      </c>
      <c r="D11" s="26" t="s">
        <v>33</v>
      </c>
    </row>
    <row r="12" spans="2:4" ht="14" x14ac:dyDescent="0.3">
      <c r="B12" s="24"/>
      <c r="C12" s="30" t="s">
        <v>34</v>
      </c>
      <c r="D12" s="231" t="s">
        <v>286</v>
      </c>
    </row>
    <row r="13" spans="2:4" ht="14" x14ac:dyDescent="0.3">
      <c r="B13" s="181"/>
      <c r="C13" s="219" t="s">
        <v>29</v>
      </c>
      <c r="D13" s="26"/>
    </row>
    <row r="14" spans="2:4" ht="14" x14ac:dyDescent="0.3">
      <c r="B14" s="31" t="s">
        <v>35</v>
      </c>
      <c r="C14" s="30"/>
      <c r="D14" s="26"/>
    </row>
    <row r="15" spans="2:4" ht="14" x14ac:dyDescent="0.3">
      <c r="B15" s="24">
        <v>1</v>
      </c>
      <c r="C15" s="30" t="s">
        <v>36</v>
      </c>
      <c r="D15" s="231" t="s">
        <v>255</v>
      </c>
    </row>
    <row r="16" spans="2:4" ht="14" x14ac:dyDescent="0.3">
      <c r="B16" s="181">
        <v>2</v>
      </c>
      <c r="C16" s="232" t="s">
        <v>249</v>
      </c>
      <c r="D16" s="231" t="s">
        <v>256</v>
      </c>
    </row>
    <row r="17" spans="2:4" ht="14" x14ac:dyDescent="0.3">
      <c r="B17" s="181">
        <v>3</v>
      </c>
      <c r="C17" s="232" t="s">
        <v>250</v>
      </c>
      <c r="D17" s="231" t="s">
        <v>257</v>
      </c>
    </row>
    <row r="18" spans="2:4" ht="14" x14ac:dyDescent="0.3">
      <c r="B18" s="24">
        <v>4</v>
      </c>
      <c r="C18" s="30" t="s">
        <v>37</v>
      </c>
      <c r="D18" s="26"/>
    </row>
    <row r="19" spans="2:4" ht="28" x14ac:dyDescent="0.3">
      <c r="B19" s="181">
        <v>5</v>
      </c>
      <c r="C19" s="30" t="s">
        <v>38</v>
      </c>
      <c r="D19" s="231" t="s">
        <v>287</v>
      </c>
    </row>
    <row r="20" spans="2:4" ht="14" x14ac:dyDescent="0.3">
      <c r="B20" s="181">
        <v>6</v>
      </c>
      <c r="C20" s="30" t="s">
        <v>39</v>
      </c>
      <c r="D20" s="231" t="s">
        <v>258</v>
      </c>
    </row>
    <row r="21" spans="2:4" ht="15.75" customHeight="1" x14ac:dyDescent="0.3">
      <c r="B21" s="31" t="s">
        <v>40</v>
      </c>
      <c r="C21" s="30"/>
      <c r="D21" s="26"/>
    </row>
    <row r="22" spans="2:4" ht="15.75" customHeight="1" x14ac:dyDescent="0.3">
      <c r="B22" s="31"/>
      <c r="C22" s="30" t="s">
        <v>41</v>
      </c>
      <c r="D22" s="231" t="s">
        <v>252</v>
      </c>
    </row>
    <row r="23" spans="2:4" ht="15.75" customHeight="1" x14ac:dyDescent="0.3">
      <c r="B23" s="24"/>
      <c r="C23" s="219" t="s">
        <v>248</v>
      </c>
      <c r="D23" s="26" t="s">
        <v>42</v>
      </c>
    </row>
  </sheetData>
  <sheetProtection algorithmName="SHA-512" hashValue="XHag24632jbZ3ENCU0xvSgdqhlrrl5Crwqk4WKCBblAL/IkTzUvnvLG5aHPoRZiDdU1q5VkF2LP6xttUtbc3Qw==" saltValue="1Akz4ABd18I7WUkeYBLHDw==" spinCount="100000" sheet="1" formatCells="0" formatColumns="0" formatRows="0"/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3"/>
  <sheetViews>
    <sheetView rightToLeft="1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12.58203125" defaultRowHeight="15" customHeight="1" x14ac:dyDescent="0.3"/>
  <cols>
    <col min="1" max="1" width="5" customWidth="1"/>
    <col min="2" max="2" width="34.75" customWidth="1"/>
    <col min="3" max="3" width="20" customWidth="1"/>
    <col min="4" max="4" width="8.5" style="120" customWidth="1"/>
    <col min="5" max="5" width="6.33203125" style="120" customWidth="1"/>
    <col min="6" max="6" width="10.33203125" customWidth="1"/>
    <col min="7" max="7" width="1.25" customWidth="1"/>
    <col min="8" max="8" width="9" customWidth="1"/>
    <col min="9" max="9" width="11.08203125" customWidth="1"/>
    <col min="10" max="10" width="9" customWidth="1"/>
    <col min="11" max="11" width="13.75" customWidth="1"/>
    <col min="12" max="12" width="1.25" customWidth="1"/>
    <col min="13" max="13" width="7.83203125" customWidth="1"/>
    <col min="14" max="14" width="10.58203125" customWidth="1"/>
    <col min="15" max="15" width="10.33203125" customWidth="1"/>
    <col min="16" max="16" width="10.08203125" customWidth="1"/>
    <col min="17" max="17" width="15.5" customWidth="1"/>
    <col min="18" max="16383" width="9" customWidth="1"/>
  </cols>
  <sheetData>
    <row r="1" spans="1:17 16383:16383" ht="14" x14ac:dyDescent="0.3">
      <c r="A1" s="49" t="str">
        <f>פתיח!$D$11</f>
        <v xml:space="preserve">תקן הצטיידות לבריכות טיפוליות </v>
      </c>
      <c r="B1" s="1"/>
      <c r="C1" s="113"/>
      <c r="D1" s="113"/>
      <c r="E1" s="113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 16383:16383" ht="14" x14ac:dyDescent="0.3">
      <c r="A2" s="33">
        <f>'תוכן עניינים'!B15</f>
        <v>1</v>
      </c>
      <c r="B2" s="33" t="str">
        <f>'תוכן עניינים'!C15</f>
        <v>ציוד הבריכה</v>
      </c>
      <c r="C2" s="11"/>
      <c r="D2" s="113"/>
      <c r="E2" s="113"/>
      <c r="F2" s="32"/>
      <c r="G2" s="1"/>
      <c r="H2" s="34" t="s">
        <v>43</v>
      </c>
      <c r="I2" s="35"/>
      <c r="J2" s="35"/>
      <c r="K2" s="36"/>
      <c r="L2" s="1"/>
      <c r="M2" s="1"/>
      <c r="N2" s="1"/>
      <c r="O2" s="1"/>
      <c r="P2" s="1"/>
      <c r="Q2" s="1"/>
    </row>
    <row r="3" spans="1:17 16383:16383" ht="14" x14ac:dyDescent="0.3">
      <c r="A3" s="37"/>
      <c r="B3" s="38" t="s">
        <v>44</v>
      </c>
      <c r="C3" s="38"/>
      <c r="D3" s="114"/>
      <c r="E3" s="114"/>
      <c r="F3" s="40"/>
      <c r="G3" s="1"/>
      <c r="H3" s="41"/>
      <c r="I3" s="39" t="s">
        <v>45</v>
      </c>
      <c r="J3" s="39"/>
      <c r="K3" s="40"/>
      <c r="L3" s="1"/>
      <c r="M3" s="41"/>
      <c r="N3" s="39" t="s">
        <v>46</v>
      </c>
      <c r="O3" s="39"/>
      <c r="P3" s="39"/>
      <c r="Q3" s="40"/>
    </row>
    <row r="4" spans="1:17 16383:16383" ht="42" x14ac:dyDescent="0.3">
      <c r="A4" s="42" t="s">
        <v>47</v>
      </c>
      <c r="B4" s="42" t="s">
        <v>48</v>
      </c>
      <c r="C4" s="42" t="s">
        <v>49</v>
      </c>
      <c r="D4" s="43" t="s">
        <v>50</v>
      </c>
      <c r="E4" s="43" t="s">
        <v>51</v>
      </c>
      <c r="F4" s="43" t="s">
        <v>52</v>
      </c>
      <c r="G4" s="1"/>
      <c r="H4" s="44" t="s">
        <v>53</v>
      </c>
      <c r="I4" s="44" t="s">
        <v>54</v>
      </c>
      <c r="J4" s="45" t="s">
        <v>55</v>
      </c>
      <c r="K4" s="42" t="s">
        <v>56</v>
      </c>
      <c r="L4" s="1"/>
      <c r="M4" s="44" t="s">
        <v>57</v>
      </c>
      <c r="N4" s="44" t="s">
        <v>58</v>
      </c>
      <c r="O4" s="44" t="s">
        <v>54</v>
      </c>
      <c r="P4" s="43" t="s">
        <v>55</v>
      </c>
      <c r="Q4" s="43" t="s">
        <v>59</v>
      </c>
    </row>
    <row r="5" spans="1:17 16383:16383" ht="14" x14ac:dyDescent="0.3">
      <c r="A5" s="46">
        <v>1.1000000000000001</v>
      </c>
      <c r="B5" s="47" t="s">
        <v>60</v>
      </c>
      <c r="C5" s="47"/>
      <c r="D5" s="115"/>
      <c r="E5" s="116"/>
      <c r="F5" s="48"/>
      <c r="G5" s="49"/>
      <c r="H5" s="50"/>
      <c r="I5" s="51" t="str">
        <f>B5</f>
        <v>ציוד תחזוקת הבריכה</v>
      </c>
      <c r="J5" s="52"/>
      <c r="K5" s="53"/>
      <c r="L5" s="49"/>
      <c r="M5" s="54"/>
      <c r="N5" s="55" t="str">
        <f>I5</f>
        <v>ציוד תחזוקת הבריכה</v>
      </c>
      <c r="O5" s="56"/>
      <c r="P5" s="56"/>
      <c r="Q5" s="48"/>
    </row>
    <row r="6" spans="1:17 16383:16383" ht="14" x14ac:dyDescent="0.3">
      <c r="A6" s="197" t="s">
        <v>167</v>
      </c>
      <c r="B6" s="44" t="s">
        <v>61</v>
      </c>
      <c r="C6" s="58"/>
      <c r="D6" s="117">
        <v>10000</v>
      </c>
      <c r="E6" s="117">
        <v>1</v>
      </c>
      <c r="F6" s="59">
        <f t="shared" ref="F6:F18" si="0">D6*E6</f>
        <v>10000</v>
      </c>
      <c r="G6" s="1"/>
      <c r="H6" s="240"/>
      <c r="I6" s="59">
        <f t="shared" ref="I6:I16" si="1">H6*D6</f>
        <v>0</v>
      </c>
      <c r="J6" s="60" t="str">
        <f t="shared" ref="J6:J19" si="2">IFERROR(IF(I6=0,"",IF(OR(I6-$F6&gt;0,I6-$F6&lt;0), (I6-$F6)/$F6, "")),"")</f>
        <v/>
      </c>
      <c r="K6" s="241" t="str">
        <f t="shared" ref="K6:K16" si="3">IF(H6&gt;E6,"יש להסביר חריגה","")</f>
        <v/>
      </c>
      <c r="L6" s="1"/>
      <c r="M6" s="242"/>
      <c r="N6" s="61" t="str">
        <f t="shared" ref="N6:N16" si="4">IF(ISBLANK(M6), "", IF(M6="מאשר", H6, "נא למלא כמות מאושרת"))</f>
        <v/>
      </c>
      <c r="O6" s="59" t="str">
        <f t="shared" ref="O6:O16" si="5">IFERROR(N6*D6,"")</f>
        <v/>
      </c>
      <c r="P6" s="60" t="str">
        <f t="shared" ref="P6:P19" si="6">IFERROR(IF(O6=0,"",IF(OR(O6-$F6&gt;0,O6-$F6&lt;0), (O6-$F6)/$F6, "")),"")</f>
        <v/>
      </c>
      <c r="Q6" s="243"/>
    </row>
    <row r="7" spans="1:17 16383:16383" ht="14" x14ac:dyDescent="0.3">
      <c r="A7" s="197" t="s">
        <v>168</v>
      </c>
      <c r="B7" s="187" t="s">
        <v>62</v>
      </c>
      <c r="C7" s="58"/>
      <c r="D7" s="117">
        <v>8000</v>
      </c>
      <c r="E7" s="117">
        <v>1</v>
      </c>
      <c r="F7" s="59">
        <f t="shared" si="0"/>
        <v>8000</v>
      </c>
      <c r="G7" s="1"/>
      <c r="H7" s="240"/>
      <c r="I7" s="59">
        <f t="shared" si="1"/>
        <v>0</v>
      </c>
      <c r="J7" s="60" t="str">
        <f t="shared" si="2"/>
        <v/>
      </c>
      <c r="K7" s="241" t="str">
        <f t="shared" si="3"/>
        <v/>
      </c>
      <c r="L7" s="1"/>
      <c r="M7" s="242"/>
      <c r="N7" s="61" t="str">
        <f t="shared" si="4"/>
        <v/>
      </c>
      <c r="O7" s="59" t="str">
        <f t="shared" si="5"/>
        <v/>
      </c>
      <c r="P7" s="60" t="str">
        <f t="shared" si="6"/>
        <v/>
      </c>
      <c r="Q7" s="243"/>
    </row>
    <row r="8" spans="1:17 16383:16383" ht="14" x14ac:dyDescent="0.3">
      <c r="A8" s="197" t="s">
        <v>169</v>
      </c>
      <c r="B8" s="187" t="s">
        <v>67</v>
      </c>
      <c r="C8" s="58"/>
      <c r="D8" s="117">
        <v>9000</v>
      </c>
      <c r="E8" s="117">
        <v>1</v>
      </c>
      <c r="F8" s="59">
        <f t="shared" si="0"/>
        <v>9000</v>
      </c>
      <c r="G8" s="1"/>
      <c r="H8" s="240"/>
      <c r="I8" s="59">
        <f t="shared" ref="I8:I14" si="7">H8*D8</f>
        <v>0</v>
      </c>
      <c r="J8" s="60" t="str">
        <f t="shared" ref="J8:J14" si="8">IFERROR(IF(I8=0,"",IF(OR(I8-$F8&gt;0,I8-$F8&lt;0), (I8-$F8)/$F8, "")),"")</f>
        <v/>
      </c>
      <c r="K8" s="241" t="str">
        <f t="shared" ref="K8:K14" si="9">IF(H8&gt;E8,"יש להסביר חריגה","")</f>
        <v/>
      </c>
      <c r="L8" s="1"/>
      <c r="M8" s="242"/>
      <c r="N8" s="61" t="str">
        <f t="shared" ref="N8:N14" si="10">IF(ISBLANK(M8), "", IF(M8="מאשר", H8, "נא למלא כמות מאושרת"))</f>
        <v/>
      </c>
      <c r="O8" s="59" t="str">
        <f t="shared" ref="O8:O14" si="11">IFERROR(N8*D8,"")</f>
        <v/>
      </c>
      <c r="P8" s="60" t="str">
        <f t="shared" ref="P8:P14" si="12">IFERROR(IF(O8=0,"",IF(OR(O8-$F8&gt;0,O8-$F8&lt;0), (O8-$F8)/$F8, "")),"")</f>
        <v/>
      </c>
      <c r="Q8" s="243"/>
    </row>
    <row r="9" spans="1:17 16383:16383" ht="28" x14ac:dyDescent="0.3">
      <c r="A9" s="197" t="s">
        <v>170</v>
      </c>
      <c r="B9" s="233" t="s">
        <v>259</v>
      </c>
      <c r="C9" s="188" t="s">
        <v>269</v>
      </c>
      <c r="D9" s="202">
        <f>IF('שאלון למילוי מגיש הבקשה - חובה'!$D$35="",0,4000+'שאלון למילוי מגיש הבקשה - חובה'!$D$35*50)</f>
        <v>0</v>
      </c>
      <c r="E9" s="122">
        <v>1</v>
      </c>
      <c r="F9" s="59">
        <f t="shared" si="0"/>
        <v>0</v>
      </c>
      <c r="G9" s="1"/>
      <c r="H9" s="240"/>
      <c r="I9" s="59">
        <f t="shared" si="7"/>
        <v>0</v>
      </c>
      <c r="J9" s="60" t="str">
        <f t="shared" si="8"/>
        <v/>
      </c>
      <c r="K9" s="241" t="str">
        <f t="shared" si="9"/>
        <v/>
      </c>
      <c r="L9" s="1"/>
      <c r="M9" s="242"/>
      <c r="N9" s="61" t="str">
        <f t="shared" si="10"/>
        <v/>
      </c>
      <c r="O9" s="59" t="str">
        <f t="shared" si="11"/>
        <v/>
      </c>
      <c r="P9" s="60" t="str">
        <f t="shared" si="12"/>
        <v/>
      </c>
      <c r="Q9" s="243"/>
      <c r="XFC9" s="1"/>
    </row>
    <row r="10" spans="1:17 16383:16383" ht="14" x14ac:dyDescent="0.3">
      <c r="A10" s="197" t="s">
        <v>171</v>
      </c>
      <c r="B10" s="187" t="s">
        <v>262</v>
      </c>
      <c r="C10" s="188" t="s">
        <v>261</v>
      </c>
      <c r="D10" s="117">
        <v>5000</v>
      </c>
      <c r="E10" s="117">
        <v>1</v>
      </c>
      <c r="F10" s="59">
        <f t="shared" si="0"/>
        <v>5000</v>
      </c>
      <c r="G10" s="1"/>
      <c r="H10" s="240"/>
      <c r="I10" s="59">
        <f t="shared" si="7"/>
        <v>0</v>
      </c>
      <c r="J10" s="60" t="str">
        <f t="shared" si="8"/>
        <v/>
      </c>
      <c r="K10" s="241" t="str">
        <f t="shared" si="9"/>
        <v/>
      </c>
      <c r="L10" s="1"/>
      <c r="M10" s="242"/>
      <c r="N10" s="61" t="str">
        <f t="shared" si="10"/>
        <v/>
      </c>
      <c r="O10" s="59" t="str">
        <f t="shared" si="11"/>
        <v/>
      </c>
      <c r="P10" s="60" t="str">
        <f t="shared" si="12"/>
        <v/>
      </c>
      <c r="Q10" s="243"/>
    </row>
    <row r="11" spans="1:17 16383:16383" ht="14" x14ac:dyDescent="0.3">
      <c r="A11" s="197" t="s">
        <v>172</v>
      </c>
      <c r="B11" s="187" t="s">
        <v>64</v>
      </c>
      <c r="C11" s="58"/>
      <c r="D11" s="117">
        <v>4500</v>
      </c>
      <c r="E11" s="117">
        <v>1</v>
      </c>
      <c r="F11" s="59">
        <f t="shared" si="0"/>
        <v>4500</v>
      </c>
      <c r="G11" s="1"/>
      <c r="H11" s="240"/>
      <c r="I11" s="59">
        <f t="shared" si="7"/>
        <v>0</v>
      </c>
      <c r="J11" s="60" t="str">
        <f t="shared" si="8"/>
        <v/>
      </c>
      <c r="K11" s="241" t="str">
        <f t="shared" si="9"/>
        <v/>
      </c>
      <c r="L11" s="1"/>
      <c r="M11" s="242"/>
      <c r="N11" s="61" t="str">
        <f t="shared" si="10"/>
        <v/>
      </c>
      <c r="O11" s="59" t="str">
        <f t="shared" si="11"/>
        <v/>
      </c>
      <c r="P11" s="60" t="str">
        <f t="shared" si="12"/>
        <v/>
      </c>
      <c r="Q11" s="243"/>
    </row>
    <row r="12" spans="1:17 16383:16383" ht="14" x14ac:dyDescent="0.3">
      <c r="A12" s="197" t="s">
        <v>173</v>
      </c>
      <c r="B12" s="44" t="s">
        <v>63</v>
      </c>
      <c r="C12" s="58"/>
      <c r="D12" s="117">
        <v>3000</v>
      </c>
      <c r="E12" s="117">
        <v>1</v>
      </c>
      <c r="F12" s="59">
        <f t="shared" si="0"/>
        <v>3000</v>
      </c>
      <c r="G12" s="1"/>
      <c r="H12" s="240"/>
      <c r="I12" s="59">
        <f t="shared" si="7"/>
        <v>0</v>
      </c>
      <c r="J12" s="60" t="str">
        <f t="shared" si="8"/>
        <v/>
      </c>
      <c r="K12" s="241" t="str">
        <f t="shared" si="9"/>
        <v/>
      </c>
      <c r="L12" s="1"/>
      <c r="M12" s="242"/>
      <c r="N12" s="61" t="str">
        <f t="shared" si="10"/>
        <v/>
      </c>
      <c r="O12" s="59" t="str">
        <f t="shared" si="11"/>
        <v/>
      </c>
      <c r="P12" s="60" t="str">
        <f t="shared" si="12"/>
        <v/>
      </c>
      <c r="Q12" s="243"/>
    </row>
    <row r="13" spans="1:17 16383:16383" ht="14" x14ac:dyDescent="0.3">
      <c r="A13" s="197" t="s">
        <v>174</v>
      </c>
      <c r="B13" s="44" t="s">
        <v>263</v>
      </c>
      <c r="C13" s="58"/>
      <c r="D13" s="117">
        <v>1500</v>
      </c>
      <c r="E13" s="117">
        <v>3</v>
      </c>
      <c r="F13" s="59">
        <f t="shared" si="0"/>
        <v>4500</v>
      </c>
      <c r="G13" s="1"/>
      <c r="H13" s="240"/>
      <c r="I13" s="59">
        <f t="shared" si="7"/>
        <v>0</v>
      </c>
      <c r="J13" s="60" t="str">
        <f t="shared" si="8"/>
        <v/>
      </c>
      <c r="K13" s="241" t="str">
        <f t="shared" si="9"/>
        <v/>
      </c>
      <c r="L13" s="1"/>
      <c r="M13" s="242"/>
      <c r="N13" s="61" t="str">
        <f t="shared" si="10"/>
        <v/>
      </c>
      <c r="O13" s="59" t="str">
        <f t="shared" si="11"/>
        <v/>
      </c>
      <c r="P13" s="60" t="str">
        <f t="shared" si="12"/>
        <v/>
      </c>
      <c r="Q13" s="243"/>
    </row>
    <row r="14" spans="1:17 16383:16383" ht="14" x14ac:dyDescent="0.3">
      <c r="A14" s="197" t="s">
        <v>175</v>
      </c>
      <c r="B14" s="44" t="s">
        <v>66</v>
      </c>
      <c r="C14" s="58"/>
      <c r="D14" s="117">
        <v>800</v>
      </c>
      <c r="E14" s="117">
        <v>1</v>
      </c>
      <c r="F14" s="59">
        <f t="shared" si="0"/>
        <v>800</v>
      </c>
      <c r="G14" s="1"/>
      <c r="H14" s="240"/>
      <c r="I14" s="59">
        <f t="shared" si="7"/>
        <v>0</v>
      </c>
      <c r="J14" s="60" t="str">
        <f t="shared" si="8"/>
        <v/>
      </c>
      <c r="K14" s="241" t="str">
        <f t="shared" si="9"/>
        <v/>
      </c>
      <c r="L14" s="1"/>
      <c r="M14" s="242"/>
      <c r="N14" s="61" t="str">
        <f t="shared" si="10"/>
        <v/>
      </c>
      <c r="O14" s="59" t="str">
        <f t="shared" si="11"/>
        <v/>
      </c>
      <c r="P14" s="60" t="str">
        <f t="shared" si="12"/>
        <v/>
      </c>
      <c r="Q14" s="243"/>
    </row>
    <row r="15" spans="1:17 16383:16383" ht="14" x14ac:dyDescent="0.3">
      <c r="A15" s="197" t="s">
        <v>176</v>
      </c>
      <c r="B15" s="187" t="s">
        <v>69</v>
      </c>
      <c r="C15" s="188" t="s">
        <v>253</v>
      </c>
      <c r="D15" s="117">
        <v>500</v>
      </c>
      <c r="E15" s="117">
        <v>2</v>
      </c>
      <c r="F15" s="59">
        <f t="shared" si="0"/>
        <v>1000</v>
      </c>
      <c r="G15" s="1"/>
      <c r="H15" s="240"/>
      <c r="I15" s="59">
        <f t="shared" si="1"/>
        <v>0</v>
      </c>
      <c r="J15" s="60" t="str">
        <f t="shared" si="2"/>
        <v/>
      </c>
      <c r="K15" s="241" t="str">
        <f t="shared" si="3"/>
        <v/>
      </c>
      <c r="L15" s="1"/>
      <c r="M15" s="242"/>
      <c r="N15" s="61" t="str">
        <f t="shared" si="4"/>
        <v/>
      </c>
      <c r="O15" s="59" t="str">
        <f t="shared" si="5"/>
        <v/>
      </c>
      <c r="P15" s="60" t="str">
        <f t="shared" si="6"/>
        <v/>
      </c>
      <c r="Q15" s="243"/>
      <c r="XFC15" s="1"/>
    </row>
    <row r="16" spans="1:17 16383:16383" ht="14" x14ac:dyDescent="0.3">
      <c r="A16" s="197" t="s">
        <v>177</v>
      </c>
      <c r="B16" s="187" t="s">
        <v>157</v>
      </c>
      <c r="C16" s="188" t="s">
        <v>254</v>
      </c>
      <c r="D16" s="117">
        <v>500</v>
      </c>
      <c r="E16" s="117">
        <v>3</v>
      </c>
      <c r="F16" s="59">
        <f t="shared" si="0"/>
        <v>1500</v>
      </c>
      <c r="G16" s="1"/>
      <c r="H16" s="240"/>
      <c r="I16" s="59">
        <f t="shared" si="1"/>
        <v>0</v>
      </c>
      <c r="J16" s="60" t="str">
        <f t="shared" si="2"/>
        <v/>
      </c>
      <c r="K16" s="241" t="str">
        <f t="shared" si="3"/>
        <v/>
      </c>
      <c r="L16" s="1"/>
      <c r="M16" s="242"/>
      <c r="N16" s="61" t="str">
        <f t="shared" si="4"/>
        <v/>
      </c>
      <c r="O16" s="59" t="str">
        <f t="shared" si="5"/>
        <v/>
      </c>
      <c r="P16" s="60" t="str">
        <f t="shared" si="6"/>
        <v/>
      </c>
      <c r="Q16" s="243"/>
      <c r="XFC16" s="1"/>
    </row>
    <row r="17" spans="1:17 16383:16383" ht="14" x14ac:dyDescent="0.3">
      <c r="A17" s="197" t="s">
        <v>178</v>
      </c>
      <c r="B17" s="265" t="s">
        <v>299</v>
      </c>
      <c r="C17" s="58"/>
      <c r="D17" s="117">
        <v>200</v>
      </c>
      <c r="E17" s="117">
        <v>1</v>
      </c>
      <c r="F17" s="59">
        <f t="shared" si="0"/>
        <v>200</v>
      </c>
      <c r="G17" s="1"/>
      <c r="H17" s="240"/>
      <c r="I17" s="59">
        <f t="shared" ref="I17:I18" si="13">H17*D17</f>
        <v>0</v>
      </c>
      <c r="J17" s="60" t="str">
        <f t="shared" ref="J17:J18" si="14">IFERROR(IF(I17=0,"",IF(OR(I17-$F17&gt;0,I17-$F17&lt;0), (I17-$F17)/$F17, "")),"")</f>
        <v/>
      </c>
      <c r="K17" s="241" t="str">
        <f t="shared" ref="K17:K18" si="15">IF(H17&gt;E17,"יש להסביר חריגה","")</f>
        <v/>
      </c>
      <c r="L17" s="1"/>
      <c r="M17" s="242"/>
      <c r="N17" s="61" t="str">
        <f t="shared" ref="N17:N18" si="16">IF(ISBLANK(M17), "", IF(M17="מאשר", H17, "נא למלא כמות מאושרת"))</f>
        <v/>
      </c>
      <c r="O17" s="59" t="str">
        <f t="shared" ref="O17:O18" si="17">IFERROR(N17*D17,"")</f>
        <v/>
      </c>
      <c r="P17" s="60" t="str">
        <f t="shared" ref="P17:P18" si="18">IFERROR(IF(O17=0,"",IF(OR(O17-$F17&gt;0,O17-$F17&lt;0), (O17-$F17)/$F17, "")),"")</f>
        <v/>
      </c>
      <c r="Q17" s="243"/>
    </row>
    <row r="18" spans="1:17 16383:16383" ht="14" x14ac:dyDescent="0.3">
      <c r="A18" s="197" t="s">
        <v>179</v>
      </c>
      <c r="B18" s="44" t="s">
        <v>65</v>
      </c>
      <c r="C18" s="58"/>
      <c r="D18" s="117">
        <v>100</v>
      </c>
      <c r="E18" s="117">
        <v>1</v>
      </c>
      <c r="F18" s="59">
        <f t="shared" si="0"/>
        <v>100</v>
      </c>
      <c r="G18" s="1"/>
      <c r="H18" s="240"/>
      <c r="I18" s="59">
        <f t="shared" si="13"/>
        <v>0</v>
      </c>
      <c r="J18" s="60" t="str">
        <f t="shared" si="14"/>
        <v/>
      </c>
      <c r="K18" s="241" t="str">
        <f t="shared" si="15"/>
        <v/>
      </c>
      <c r="L18" s="1"/>
      <c r="M18" s="242"/>
      <c r="N18" s="61" t="str">
        <f t="shared" si="16"/>
        <v/>
      </c>
      <c r="O18" s="59" t="str">
        <f t="shared" si="17"/>
        <v/>
      </c>
      <c r="P18" s="60" t="str">
        <f t="shared" si="18"/>
        <v/>
      </c>
      <c r="Q18" s="243"/>
    </row>
    <row r="19" spans="1:17 16383:16383" ht="15.75" customHeight="1" x14ac:dyDescent="0.3">
      <c r="A19" s="197" t="s">
        <v>266</v>
      </c>
      <c r="B19" s="47" t="s">
        <v>163</v>
      </c>
      <c r="C19" s="63"/>
      <c r="D19" s="115"/>
      <c r="E19" s="118"/>
      <c r="F19" s="64">
        <f>SUM(F6:F18)</f>
        <v>47600</v>
      </c>
      <c r="G19" s="49"/>
      <c r="H19" s="62"/>
      <c r="I19" s="64">
        <f>SUM(I6:I18)</f>
        <v>0</v>
      </c>
      <c r="J19" s="65" t="str">
        <f t="shared" si="2"/>
        <v/>
      </c>
      <c r="K19" s="66" t="str">
        <f>B19</f>
        <v xml:space="preserve">סך ציוד תחזוקת הבריכה </v>
      </c>
      <c r="L19" s="49"/>
      <c r="M19" s="67"/>
      <c r="N19" s="68"/>
      <c r="O19" s="64">
        <f>SUM(O6:O18)</f>
        <v>0</v>
      </c>
      <c r="P19" s="65" t="str">
        <f t="shared" si="6"/>
        <v/>
      </c>
      <c r="Q19" s="66" t="str">
        <f>K19</f>
        <v xml:space="preserve">סך ציוד תחזוקת הבריכה </v>
      </c>
      <c r="XFC19" s="69">
        <f>SUM(F19:XFB19)</f>
        <v>47600</v>
      </c>
    </row>
    <row r="20" spans="1:17 16383:16383" ht="15.75" customHeight="1" x14ac:dyDescent="0.3">
      <c r="A20" s="46">
        <v>1.2</v>
      </c>
      <c r="B20" s="47" t="s">
        <v>70</v>
      </c>
      <c r="C20" s="47"/>
      <c r="D20" s="115"/>
      <c r="E20" s="116"/>
      <c r="F20" s="70"/>
      <c r="G20" s="1"/>
      <c r="H20" s="71"/>
      <c r="I20" s="47" t="str">
        <f>B20</f>
        <v xml:space="preserve">ציוד בטיחות והצלה </v>
      </c>
      <c r="J20" s="72"/>
      <c r="K20" s="73"/>
      <c r="L20" s="49"/>
      <c r="M20" s="67"/>
      <c r="N20" s="47" t="str">
        <f>I20</f>
        <v xml:space="preserve">ציוד בטיחות והצלה </v>
      </c>
      <c r="O20" s="74"/>
      <c r="P20" s="74"/>
      <c r="Q20" s="75"/>
      <c r="XFC20" s="1"/>
    </row>
    <row r="21" spans="1:17 16383:16383" ht="15.75" customHeight="1" x14ac:dyDescent="0.3">
      <c r="A21" s="197" t="s">
        <v>180</v>
      </c>
      <c r="B21" s="187" t="s">
        <v>197</v>
      </c>
      <c r="C21" s="58"/>
      <c r="D21" s="117">
        <v>2000</v>
      </c>
      <c r="E21" s="117">
        <v>1</v>
      </c>
      <c r="F21" s="59">
        <f t="shared" ref="F21:F24" si="19">D21*E21</f>
        <v>2000</v>
      </c>
      <c r="G21" s="1"/>
      <c r="H21" s="240"/>
      <c r="I21" s="59">
        <f t="shared" ref="I21:I23" si="20">H21*D21</f>
        <v>0</v>
      </c>
      <c r="J21" s="60" t="str">
        <f t="shared" ref="J21:J25" si="21">IFERROR(IF(I21=0,"",IF(OR(I21-$F21&gt;0,I21-$F21&lt;0), (I21-$F21)/$F21, "")),"")</f>
        <v/>
      </c>
      <c r="K21" s="241" t="str">
        <f t="shared" ref="K21:K23" si="22">IF(H21&gt;E21,"יש להסביר חריגה","")</f>
        <v/>
      </c>
      <c r="L21" s="1"/>
      <c r="M21" s="242"/>
      <c r="N21" s="61" t="str">
        <f t="shared" ref="N21:N23" si="23">IF(ISBLANK(M21), "", IF(M21="מאשר", H21, "נא למלא כמות מאושרת"))</f>
        <v/>
      </c>
      <c r="O21" s="59" t="str">
        <f t="shared" ref="O21:O23" si="24">IFERROR(N21*D21,"")</f>
        <v/>
      </c>
      <c r="P21" s="60" t="str">
        <f t="shared" ref="P21:P25" si="25">IFERROR(IF(O21=0,"",IF(OR(O21-$F21&gt;0,O21-$F21&lt;0), (O21-$F21)/$F21, "")),"")</f>
        <v/>
      </c>
      <c r="Q21" s="243"/>
      <c r="XFC21" s="1"/>
    </row>
    <row r="22" spans="1:17 16383:16383" ht="15.75" customHeight="1" x14ac:dyDescent="0.3">
      <c r="A22" s="197" t="s">
        <v>181</v>
      </c>
      <c r="B22" s="44" t="s">
        <v>71</v>
      </c>
      <c r="C22" s="58"/>
      <c r="D22" s="117">
        <v>300</v>
      </c>
      <c r="E22" s="117">
        <v>2</v>
      </c>
      <c r="F22" s="59">
        <f t="shared" si="19"/>
        <v>600</v>
      </c>
      <c r="G22" s="1"/>
      <c r="H22" s="240"/>
      <c r="I22" s="59">
        <f t="shared" si="20"/>
        <v>0</v>
      </c>
      <c r="J22" s="60" t="str">
        <f t="shared" si="21"/>
        <v/>
      </c>
      <c r="K22" s="241" t="str">
        <f t="shared" si="22"/>
        <v/>
      </c>
      <c r="L22" s="1"/>
      <c r="M22" s="242"/>
      <c r="N22" s="61" t="str">
        <f t="shared" si="23"/>
        <v/>
      </c>
      <c r="O22" s="59" t="str">
        <f t="shared" si="24"/>
        <v/>
      </c>
      <c r="P22" s="60" t="str">
        <f t="shared" si="25"/>
        <v/>
      </c>
      <c r="Q22" s="243"/>
      <c r="XFC22" s="1"/>
    </row>
    <row r="23" spans="1:17 16383:16383" ht="15.75" customHeight="1" x14ac:dyDescent="0.3">
      <c r="A23" s="197" t="s">
        <v>182</v>
      </c>
      <c r="B23" s="44" t="s">
        <v>72</v>
      </c>
      <c r="C23" s="58"/>
      <c r="D23" s="117">
        <v>300</v>
      </c>
      <c r="E23" s="117">
        <v>1</v>
      </c>
      <c r="F23" s="59">
        <f t="shared" si="19"/>
        <v>300</v>
      </c>
      <c r="G23" s="1"/>
      <c r="H23" s="240"/>
      <c r="I23" s="59">
        <f t="shared" si="20"/>
        <v>0</v>
      </c>
      <c r="J23" s="60" t="str">
        <f t="shared" si="21"/>
        <v/>
      </c>
      <c r="K23" s="241" t="str">
        <f t="shared" si="22"/>
        <v/>
      </c>
      <c r="L23" s="1"/>
      <c r="M23" s="242"/>
      <c r="N23" s="61" t="str">
        <f t="shared" si="23"/>
        <v/>
      </c>
      <c r="O23" s="59" t="str">
        <f t="shared" si="24"/>
        <v/>
      </c>
      <c r="P23" s="60" t="str">
        <f t="shared" si="25"/>
        <v/>
      </c>
      <c r="Q23" s="243"/>
      <c r="XFC23" s="1"/>
    </row>
    <row r="24" spans="1:17 16383:16383" ht="15.75" customHeight="1" x14ac:dyDescent="0.3">
      <c r="A24" s="197" t="s">
        <v>183</v>
      </c>
      <c r="B24" s="44" t="s">
        <v>264</v>
      </c>
      <c r="C24" s="58"/>
      <c r="D24" s="117">
        <v>200</v>
      </c>
      <c r="E24" s="117">
        <v>5</v>
      </c>
      <c r="F24" s="59">
        <f t="shared" si="19"/>
        <v>1000</v>
      </c>
      <c r="G24" s="1"/>
      <c r="H24" s="240"/>
      <c r="I24" s="59">
        <f t="shared" ref="I24" si="26">H24*D24</f>
        <v>0</v>
      </c>
      <c r="J24" s="60" t="str">
        <f t="shared" ref="J24" si="27">IFERROR(IF(I24=0,"",IF(OR(I24-$F24&gt;0,I24-$F24&lt;0), (I24-$F24)/$F24, "")),"")</f>
        <v/>
      </c>
      <c r="K24" s="241" t="str">
        <f t="shared" ref="K24" si="28">IF(H24&gt;E24,"יש להסביר חריגה","")</f>
        <v/>
      </c>
      <c r="L24" s="1"/>
      <c r="M24" s="242"/>
      <c r="N24" s="61" t="str">
        <f t="shared" ref="N24" si="29">IF(ISBLANK(M24), "", IF(M24="מאשר", H24, "נא למלא כמות מאושרת"))</f>
        <v/>
      </c>
      <c r="O24" s="59" t="str">
        <f t="shared" ref="O24" si="30">IFERROR(N24*D24,"")</f>
        <v/>
      </c>
      <c r="P24" s="60" t="str">
        <f t="shared" ref="P24" si="31">IFERROR(IF(O24=0,"",IF(OR(O24-$F24&gt;0,O24-$F24&lt;0), (O24-$F24)/$F24, "")),"")</f>
        <v/>
      </c>
      <c r="Q24" s="243"/>
      <c r="XFC24" s="1"/>
    </row>
    <row r="25" spans="1:17 16383:16383" ht="15.75" customHeight="1" x14ac:dyDescent="0.3">
      <c r="A25" s="197" t="s">
        <v>267</v>
      </c>
      <c r="B25" s="253" t="s">
        <v>291</v>
      </c>
      <c r="C25" s="63"/>
      <c r="D25" s="115"/>
      <c r="E25" s="118"/>
      <c r="F25" s="64">
        <f>SUM(F21:F24)</f>
        <v>3900</v>
      </c>
      <c r="G25" s="1"/>
      <c r="H25" s="62"/>
      <c r="I25" s="64">
        <f>SUM(I21:I24)</f>
        <v>0</v>
      </c>
      <c r="J25" s="65" t="str">
        <f t="shared" si="21"/>
        <v/>
      </c>
      <c r="K25" s="66" t="str">
        <f>B25</f>
        <v xml:space="preserve">סך ציוד בטיחות והצלה </v>
      </c>
      <c r="L25" s="49"/>
      <c r="M25" s="67"/>
      <c r="N25" s="68"/>
      <c r="O25" s="64">
        <f>SUM(O21:O24)</f>
        <v>0</v>
      </c>
      <c r="P25" s="65" t="str">
        <f t="shared" si="25"/>
        <v/>
      </c>
      <c r="Q25" s="66" t="str">
        <f>B25</f>
        <v xml:space="preserve">סך ציוד בטיחות והצלה </v>
      </c>
      <c r="XFC25" s="1"/>
    </row>
    <row r="26" spans="1:17 16383:16383" ht="15.75" customHeight="1" x14ac:dyDescent="0.3">
      <c r="A26" s="46">
        <v>3</v>
      </c>
      <c r="B26" s="63" t="s">
        <v>73</v>
      </c>
      <c r="C26" s="63"/>
      <c r="D26" s="76"/>
      <c r="E26" s="76"/>
      <c r="F26" s="77"/>
      <c r="G26" s="1"/>
      <c r="H26" s="71"/>
      <c r="I26" s="78" t="str">
        <f>B26</f>
        <v>ציוד נגישות </v>
      </c>
      <c r="J26" s="72"/>
      <c r="K26" s="73"/>
      <c r="L26" s="49"/>
      <c r="M26" s="67"/>
      <c r="N26" s="79" t="str">
        <f>I26</f>
        <v>ציוד נגישות </v>
      </c>
      <c r="O26" s="74"/>
      <c r="P26" s="74"/>
      <c r="Q26" s="75"/>
      <c r="XFC26" s="1"/>
    </row>
    <row r="27" spans="1:17 16383:16383" ht="15.75" customHeight="1" x14ac:dyDescent="0.3">
      <c r="A27" s="197" t="s">
        <v>184</v>
      </c>
      <c r="B27" s="44" t="s">
        <v>305</v>
      </c>
      <c r="C27" s="58"/>
      <c r="D27" s="117">
        <v>25000</v>
      </c>
      <c r="E27" s="117">
        <v>1</v>
      </c>
      <c r="F27" s="59">
        <f t="shared" ref="F27:F31" si="32">D27*E27</f>
        <v>25000</v>
      </c>
      <c r="G27" s="1"/>
      <c r="H27" s="240"/>
      <c r="I27" s="59">
        <f t="shared" ref="I27:I31" si="33">H27*D27</f>
        <v>0</v>
      </c>
      <c r="J27" s="60" t="str">
        <f t="shared" ref="J27:J32" si="34">IFERROR(IF(I27=0,"",IF(OR(I27-$F27&gt;0,I27-$F27&lt;0), (I27-$F27)/$F27, "")),"")</f>
        <v/>
      </c>
      <c r="K27" s="241" t="str">
        <f t="shared" ref="K27:K31" si="35">IF(H27&gt;E27,"יש להסביר חריגה","")</f>
        <v/>
      </c>
      <c r="L27" s="1"/>
      <c r="M27" s="242"/>
      <c r="N27" s="61" t="str">
        <f t="shared" ref="N27:N31" si="36">IF(ISBLANK(M27), "", IF(M27="מאשר", H27, "נא למלא כמות מאושרת"))</f>
        <v/>
      </c>
      <c r="O27" s="59" t="str">
        <f t="shared" ref="O27:O31" si="37">IFERROR(N27*D27,"")</f>
        <v/>
      </c>
      <c r="P27" s="60" t="str">
        <f t="shared" ref="P27:P32" si="38">IFERROR(IF(O27=0,"",IF(OR(O27-$F27&gt;0,O27-$F27&lt;0), (O27-$F27)/$F27, "")),"")</f>
        <v/>
      </c>
      <c r="Q27" s="243"/>
    </row>
    <row r="28" spans="1:17 16383:16383" ht="15.75" customHeight="1" x14ac:dyDescent="0.3">
      <c r="A28" s="197" t="s">
        <v>185</v>
      </c>
      <c r="B28" s="44" t="s">
        <v>306</v>
      </c>
      <c r="C28" s="42"/>
      <c r="D28" s="117">
        <v>14000</v>
      </c>
      <c r="E28" s="117">
        <v>1</v>
      </c>
      <c r="F28" s="59">
        <f t="shared" si="32"/>
        <v>14000</v>
      </c>
      <c r="G28" s="1"/>
      <c r="H28" s="240"/>
      <c r="I28" s="59">
        <f t="shared" ref="I28:I30" si="39">H28*D28</f>
        <v>0</v>
      </c>
      <c r="J28" s="60" t="str">
        <f t="shared" ref="J28:J30" si="40">IFERROR(IF(I28=0,"",IF(OR(I28-$F28&gt;0,I28-$F28&lt;0), (I28-$F28)/$F28, "")),"")</f>
        <v/>
      </c>
      <c r="K28" s="241" t="str">
        <f t="shared" ref="K28:K30" si="41">IF(H28&gt;E28,"יש להסביר חריגה","")</f>
        <v/>
      </c>
      <c r="L28" s="1"/>
      <c r="M28" s="242"/>
      <c r="N28" s="61" t="str">
        <f t="shared" ref="N28:N29" si="42">IF(ISBLANK(M28), "", IF(M28="מאשר", H28, "נא למלא כמות מאושרת"))</f>
        <v/>
      </c>
      <c r="O28" s="59" t="str">
        <f t="shared" ref="O28:O29" si="43">IFERROR(N28*D28,"")</f>
        <v/>
      </c>
      <c r="P28" s="60" t="str">
        <f t="shared" ref="P28:P29" si="44">IFERROR(IF(O28=0,"",IF(OR(O28-$F28&gt;0,O28-$F28&lt;0), (O28-$F28)/$F28, "")),"")</f>
        <v/>
      </c>
      <c r="Q28" s="243"/>
    </row>
    <row r="29" spans="1:17 16383:16383" ht="15.75" customHeight="1" x14ac:dyDescent="0.3">
      <c r="A29" s="197" t="s">
        <v>186</v>
      </c>
      <c r="B29" s="44" t="s">
        <v>265</v>
      </c>
      <c r="C29" s="58"/>
      <c r="D29" s="117">
        <v>4000</v>
      </c>
      <c r="E29" s="117">
        <v>2</v>
      </c>
      <c r="F29" s="59">
        <f t="shared" si="32"/>
        <v>8000</v>
      </c>
      <c r="G29" s="1"/>
      <c r="H29" s="240"/>
      <c r="I29" s="59">
        <f t="shared" si="39"/>
        <v>0</v>
      </c>
      <c r="J29" s="60" t="str">
        <f t="shared" si="40"/>
        <v/>
      </c>
      <c r="K29" s="241" t="str">
        <f t="shared" si="41"/>
        <v/>
      </c>
      <c r="L29" s="1"/>
      <c r="M29" s="242"/>
      <c r="N29" s="61" t="str">
        <f t="shared" si="42"/>
        <v/>
      </c>
      <c r="O29" s="59" t="str">
        <f t="shared" si="43"/>
        <v/>
      </c>
      <c r="P29" s="60" t="str">
        <f t="shared" si="44"/>
        <v/>
      </c>
      <c r="Q29" s="243"/>
    </row>
    <row r="30" spans="1:17 16383:16383" ht="15.75" customHeight="1" x14ac:dyDescent="0.3">
      <c r="A30" s="197" t="s">
        <v>187</v>
      </c>
      <c r="B30" s="44" t="s">
        <v>300</v>
      </c>
      <c r="C30" s="58"/>
      <c r="D30" s="117">
        <v>3000</v>
      </c>
      <c r="E30" s="117">
        <v>2</v>
      </c>
      <c r="F30" s="59">
        <f t="shared" si="32"/>
        <v>6000</v>
      </c>
      <c r="G30" s="1"/>
      <c r="H30" s="240"/>
      <c r="I30" s="59">
        <f t="shared" si="39"/>
        <v>0</v>
      </c>
      <c r="J30" s="60" t="str">
        <f t="shared" si="40"/>
        <v/>
      </c>
      <c r="K30" s="241" t="str">
        <f t="shared" si="41"/>
        <v/>
      </c>
      <c r="L30" s="1"/>
      <c r="M30" s="242"/>
      <c r="N30" s="61" t="str">
        <f t="shared" si="36"/>
        <v/>
      </c>
      <c r="O30" s="59" t="str">
        <f t="shared" si="37"/>
        <v/>
      </c>
      <c r="P30" s="60" t="str">
        <f t="shared" si="38"/>
        <v/>
      </c>
      <c r="Q30" s="243"/>
    </row>
    <row r="31" spans="1:17 16383:16383" ht="15.75" customHeight="1" x14ac:dyDescent="0.3">
      <c r="A31" s="197" t="s">
        <v>188</v>
      </c>
      <c r="B31" s="121" t="s">
        <v>74</v>
      </c>
      <c r="C31" s="58"/>
      <c r="D31" s="117">
        <v>2000</v>
      </c>
      <c r="E31" s="117">
        <v>1</v>
      </c>
      <c r="F31" s="59">
        <f t="shared" si="32"/>
        <v>2000</v>
      </c>
      <c r="G31" s="1"/>
      <c r="H31" s="240"/>
      <c r="I31" s="59">
        <f t="shared" si="33"/>
        <v>0</v>
      </c>
      <c r="J31" s="60" t="str">
        <f t="shared" si="34"/>
        <v/>
      </c>
      <c r="K31" s="241" t="str">
        <f t="shared" si="35"/>
        <v/>
      </c>
      <c r="L31" s="1"/>
      <c r="M31" s="242"/>
      <c r="N31" s="61" t="str">
        <f t="shared" si="36"/>
        <v/>
      </c>
      <c r="O31" s="59" t="str">
        <f t="shared" si="37"/>
        <v/>
      </c>
      <c r="P31" s="60" t="str">
        <f t="shared" si="38"/>
        <v/>
      </c>
      <c r="Q31" s="243"/>
    </row>
    <row r="32" spans="1:17 16383:16383" ht="15.75" customHeight="1" x14ac:dyDescent="0.3">
      <c r="A32" s="197" t="s">
        <v>268</v>
      </c>
      <c r="B32" s="47" t="s">
        <v>164</v>
      </c>
      <c r="C32" s="47"/>
      <c r="D32" s="115"/>
      <c r="E32" s="118"/>
      <c r="F32" s="64">
        <f>SUM(F27:F31)</f>
        <v>55000</v>
      </c>
      <c r="G32" s="49"/>
      <c r="H32" s="62"/>
      <c r="I32" s="64">
        <f>SUM(I27:I31)</f>
        <v>0</v>
      </c>
      <c r="J32" s="65" t="str">
        <f t="shared" si="34"/>
        <v/>
      </c>
      <c r="K32" s="66" t="str">
        <f>B32</f>
        <v xml:space="preserve">סך ציוד נגישות </v>
      </c>
      <c r="L32" s="49"/>
      <c r="M32" s="67"/>
      <c r="N32" s="68"/>
      <c r="O32" s="64">
        <f>SUM(O27:O31)</f>
        <v>0</v>
      </c>
      <c r="P32" s="65" t="str">
        <f t="shared" si="38"/>
        <v/>
      </c>
      <c r="Q32" s="66" t="str">
        <f>B32</f>
        <v xml:space="preserve">סך ציוד נגישות </v>
      </c>
    </row>
    <row r="33" spans="1:17" ht="15.75" customHeight="1" x14ac:dyDescent="0.3">
      <c r="A33" s="80" t="s">
        <v>144</v>
      </c>
      <c r="B33" s="47" t="str">
        <f>B2</f>
        <v>ציוד הבריכה</v>
      </c>
      <c r="C33" s="81"/>
      <c r="D33" s="119"/>
      <c r="E33" s="114"/>
      <c r="F33" s="64">
        <f>F19+F25+F32</f>
        <v>106500</v>
      </c>
      <c r="G33" s="1"/>
      <c r="H33" s="62"/>
      <c r="I33" s="64">
        <f>I19+I25+I32</f>
        <v>0</v>
      </c>
      <c r="J33" s="65" t="str">
        <f t="shared" ref="J33" si="45">IFERROR(IF(I33=0,"",IF(OR(I33-$F33&gt;0,I33-$F33&lt;0), (I33-$F33)/$F33, "")),"")</f>
        <v/>
      </c>
      <c r="K33" s="66" t="str">
        <f>B33</f>
        <v>ציוד הבריכה</v>
      </c>
      <c r="L33" s="1"/>
      <c r="M33" s="67"/>
      <c r="N33" s="68"/>
      <c r="O33" s="64">
        <f>O19+O25+O32</f>
        <v>0</v>
      </c>
      <c r="P33" s="65" t="str">
        <f t="shared" ref="P33" si="46">IFERROR(IF(O33=0,"",IF(OR(O33-$F33&gt;0,O33-$F33&lt;0), (O33-$F33)/$F33, "")),"")</f>
        <v/>
      </c>
      <c r="Q33" s="66" t="str">
        <f>B33</f>
        <v>ציוד הבריכה</v>
      </c>
    </row>
  </sheetData>
  <sheetProtection algorithmName="SHA-512" hashValue="eVw+ZMloT2oeJDSN6bGJbvjR91ah4EWBAyOKScuOTs/LiN9gNE5tXwhhtxRqgGvMZc051qYEz5zHMEL2CNDiJA==" saltValue="PxO7BWE7AhHLcVdBIE/Icw==" spinCount="100000" sheet="1" formatCells="0" formatColumns="0" formatRows="0"/>
  <conditionalFormatting sqref="J21:J23 P21:P23 J6:J8 P6:P8 P10:P16 J10:J16 J19 P19 P25 J25 P27:P33 J27:J33">
    <cfRule type="cellIs" dxfId="13" priority="5" operator="greaterThan">
      <formula>0</formula>
    </cfRule>
  </conditionalFormatting>
  <conditionalFormatting sqref="P24 J24">
    <cfRule type="cellIs" dxfId="12" priority="3" operator="greaterThan">
      <formula>0</formula>
    </cfRule>
  </conditionalFormatting>
  <conditionalFormatting sqref="P9 J9">
    <cfRule type="cellIs" dxfId="11" priority="2" operator="greaterThan">
      <formula>0</formula>
    </cfRule>
  </conditionalFormatting>
  <conditionalFormatting sqref="P17:P18 J17:J18">
    <cfRule type="cellIs" dxfId="10" priority="1" operator="greaterThan">
      <formula>0</formula>
    </cfRule>
  </conditionalFormatting>
  <dataValidations count="1">
    <dataValidation type="list" allowBlank="1" showErrorMessage="1" sqref="M27:M31 M21:M24 M6:M18">
      <formula1>"מאשר,מאשר חלקי"</formula1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rightToLeft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2.58203125" defaultRowHeight="15" customHeight="1" x14ac:dyDescent="0.3"/>
  <cols>
    <col min="1" max="1" width="4.83203125" customWidth="1"/>
    <col min="2" max="2" width="30.08203125" customWidth="1"/>
    <col min="3" max="3" width="12.08203125" customWidth="1"/>
    <col min="4" max="4" width="8.5" style="120" customWidth="1"/>
    <col min="5" max="5" width="6.33203125" style="120" customWidth="1"/>
    <col min="6" max="6" width="10.33203125" customWidth="1"/>
    <col min="7" max="7" width="1.25" customWidth="1"/>
    <col min="8" max="8" width="9" customWidth="1"/>
    <col min="9" max="9" width="11.08203125" customWidth="1"/>
    <col min="10" max="10" width="9" customWidth="1"/>
    <col min="11" max="11" width="13.75" customWidth="1"/>
    <col min="12" max="12" width="1.25" customWidth="1"/>
    <col min="13" max="13" width="12" customWidth="1"/>
    <col min="14" max="14" width="10.58203125" customWidth="1"/>
    <col min="15" max="15" width="10.33203125" customWidth="1"/>
    <col min="16" max="16" width="10.08203125" customWidth="1"/>
    <col min="17" max="17" width="15.5" customWidth="1"/>
    <col min="18" max="16383" width="9" customWidth="1"/>
  </cols>
  <sheetData>
    <row r="1" spans="1:17" ht="14" x14ac:dyDescent="0.3">
      <c r="A1" s="49" t="str">
        <f>פתיח!$D$11</f>
        <v xml:space="preserve">תקן הצטיידות לבריכות טיפוליות </v>
      </c>
      <c r="B1" s="1"/>
      <c r="C1" s="113"/>
      <c r="D1" s="113"/>
      <c r="E1" s="113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" x14ac:dyDescent="0.3">
      <c r="A2" s="33">
        <f>'תוכן עניינים'!B16</f>
        <v>2</v>
      </c>
      <c r="B2" s="33" t="str">
        <f>'תוכן עניינים'!C16</f>
        <v>ציוד טיפולי והידרותרפיה</v>
      </c>
      <c r="C2" s="11"/>
      <c r="D2" s="113"/>
      <c r="E2" s="113"/>
      <c r="F2" s="32"/>
      <c r="G2" s="1"/>
      <c r="H2" s="34" t="s">
        <v>43</v>
      </c>
      <c r="I2" s="35"/>
      <c r="J2" s="35"/>
      <c r="K2" s="36"/>
      <c r="L2" s="1"/>
      <c r="M2" s="1"/>
      <c r="N2" s="1"/>
      <c r="O2" s="1"/>
      <c r="P2" s="1"/>
      <c r="Q2" s="1"/>
    </row>
    <row r="3" spans="1:17" ht="14" x14ac:dyDescent="0.3">
      <c r="A3" s="37"/>
      <c r="B3" s="38" t="s">
        <v>44</v>
      </c>
      <c r="C3" s="38"/>
      <c r="D3" s="114"/>
      <c r="E3" s="114"/>
      <c r="F3" s="40"/>
      <c r="G3" s="1"/>
      <c r="H3" s="41"/>
      <c r="I3" s="39" t="s">
        <v>45</v>
      </c>
      <c r="J3" s="39"/>
      <c r="K3" s="40"/>
      <c r="L3" s="1"/>
      <c r="M3" s="41"/>
      <c r="N3" s="39" t="s">
        <v>46</v>
      </c>
      <c r="O3" s="39"/>
      <c r="P3" s="39"/>
      <c r="Q3" s="40"/>
    </row>
    <row r="4" spans="1:17" ht="28" x14ac:dyDescent="0.3">
      <c r="A4" s="42" t="s">
        <v>47</v>
      </c>
      <c r="B4" s="42" t="s">
        <v>48</v>
      </c>
      <c r="C4" s="42" t="s">
        <v>49</v>
      </c>
      <c r="D4" s="43" t="s">
        <v>50</v>
      </c>
      <c r="E4" s="43" t="s">
        <v>51</v>
      </c>
      <c r="F4" s="43" t="s">
        <v>52</v>
      </c>
      <c r="G4" s="1"/>
      <c r="H4" s="44" t="s">
        <v>53</v>
      </c>
      <c r="I4" s="44" t="s">
        <v>54</v>
      </c>
      <c r="J4" s="45" t="s">
        <v>55</v>
      </c>
      <c r="K4" s="42" t="s">
        <v>56</v>
      </c>
      <c r="L4" s="1"/>
      <c r="M4" s="44" t="s">
        <v>57</v>
      </c>
      <c r="N4" s="44" t="s">
        <v>58</v>
      </c>
      <c r="O4" s="44" t="s">
        <v>54</v>
      </c>
      <c r="P4" s="43" t="s">
        <v>55</v>
      </c>
      <c r="Q4" s="43" t="s">
        <v>59</v>
      </c>
    </row>
    <row r="5" spans="1:17" ht="15.75" customHeight="1" x14ac:dyDescent="0.3">
      <c r="A5" s="185">
        <v>2.1</v>
      </c>
      <c r="B5" s="44" t="s">
        <v>77</v>
      </c>
      <c r="C5" s="58"/>
      <c r="D5" s="117">
        <v>17000</v>
      </c>
      <c r="E5" s="117">
        <v>1</v>
      </c>
      <c r="F5" s="59">
        <f t="shared" ref="F5:F20" si="0">E5*D5</f>
        <v>17000</v>
      </c>
      <c r="G5" s="1"/>
      <c r="H5" s="240"/>
      <c r="I5" s="59">
        <f t="shared" ref="I5" si="1">H5*D5</f>
        <v>0</v>
      </c>
      <c r="J5" s="60" t="str">
        <f t="shared" ref="J5:J21" si="2">IFERROR(IF(I5=0,"",IF(OR(I5-$F5&gt;0,I5-$F5&lt;0), (I5-$F5)/$F5, "")),"")</f>
        <v/>
      </c>
      <c r="K5" s="241" t="str">
        <f t="shared" ref="K5" si="3">IF(H5&gt;E5,"יש להסביר חריגה","")</f>
        <v/>
      </c>
      <c r="L5" s="49"/>
      <c r="M5" s="242"/>
      <c r="N5" s="61" t="str">
        <f t="shared" ref="N5" si="4">IF(ISBLANK(M5), "", IF(M5="מאשר", H5, "נא למלא כמות מאושרת"))</f>
        <v/>
      </c>
      <c r="O5" s="59" t="str">
        <f t="shared" ref="O5" si="5">IFERROR(N5*D5,"")</f>
        <v/>
      </c>
      <c r="P5" s="60" t="str">
        <f t="shared" ref="P5" si="6">IFERROR(IF(O5=0,"",IF(OR(O5-$F5&gt;0,O5-$F5&lt;0), (O5-$F5)/$F5, "")),"")</f>
        <v/>
      </c>
      <c r="Q5" s="243"/>
    </row>
    <row r="6" spans="1:17" ht="15.75" customHeight="1" x14ac:dyDescent="0.3">
      <c r="A6" s="185">
        <v>2.2000000000000002</v>
      </c>
      <c r="B6" s="187" t="s">
        <v>246</v>
      </c>
      <c r="C6" s="58"/>
      <c r="D6" s="117">
        <v>11000</v>
      </c>
      <c r="E6" s="117">
        <v>1</v>
      </c>
      <c r="F6" s="59">
        <f t="shared" si="0"/>
        <v>11000</v>
      </c>
      <c r="G6" s="1"/>
      <c r="H6" s="240"/>
      <c r="I6" s="59">
        <f t="shared" ref="I6:I11" si="7">H6*D6</f>
        <v>0</v>
      </c>
      <c r="J6" s="60" t="str">
        <f t="shared" ref="J6:J11" si="8">IFERROR(IF(I6=0,"",IF(OR(I6-$F6&gt;0,I6-$F6&lt;0), (I6-$F6)/$F6, "")),"")</f>
        <v/>
      </c>
      <c r="K6" s="241" t="str">
        <f t="shared" ref="K6:K11" si="9">IF(H6&gt;E6,"יש להסביר חריגה","")</f>
        <v/>
      </c>
      <c r="L6" s="49"/>
      <c r="M6" s="242"/>
      <c r="N6" s="61" t="str">
        <f t="shared" ref="N6:N11" si="10">IF(ISBLANK(M6), "", IF(M6="מאשר", H6, "נא למלא כמות מאושרת"))</f>
        <v/>
      </c>
      <c r="O6" s="59" t="str">
        <f t="shared" ref="O6:O11" si="11">IFERROR(N6*D6,"")</f>
        <v/>
      </c>
      <c r="P6" s="60" t="str">
        <f t="shared" ref="P6:P11" si="12">IFERROR(IF(O6=0,"",IF(OR(O6-$F6&gt;0,O6-$F6&lt;0), (O6-$F6)/$F6, "")),"")</f>
        <v/>
      </c>
      <c r="Q6" s="243"/>
    </row>
    <row r="7" spans="1:17" ht="15.75" customHeight="1" x14ac:dyDescent="0.3">
      <c r="A7" s="185">
        <v>2.2999999999999998</v>
      </c>
      <c r="B7" s="187" t="s">
        <v>78</v>
      </c>
      <c r="C7" s="58"/>
      <c r="D7" s="117">
        <v>600</v>
      </c>
      <c r="E7" s="117">
        <v>2</v>
      </c>
      <c r="F7" s="59">
        <f t="shared" si="0"/>
        <v>1200</v>
      </c>
      <c r="G7" s="1"/>
      <c r="H7" s="240"/>
      <c r="I7" s="59">
        <f t="shared" ref="I7" si="13">H7*D7</f>
        <v>0</v>
      </c>
      <c r="J7" s="60" t="str">
        <f t="shared" ref="J7" si="14">IFERROR(IF(I7=0,"",IF(OR(I7-$F7&gt;0,I7-$F7&lt;0), (I7-$F7)/$F7, "")),"")</f>
        <v/>
      </c>
      <c r="K7" s="241" t="str">
        <f t="shared" ref="K7" si="15">IF(H7&gt;E7,"יש להסביר חריגה","")</f>
        <v/>
      </c>
      <c r="L7" s="49"/>
      <c r="M7" s="242"/>
      <c r="N7" s="61" t="str">
        <f t="shared" ref="N7" si="16">IF(ISBLANK(M7), "", IF(M7="מאשר", H7, "נא למלא כמות מאושרת"))</f>
        <v/>
      </c>
      <c r="O7" s="59" t="str">
        <f t="shared" ref="O7" si="17">IFERROR(N7*D7,"")</f>
        <v/>
      </c>
      <c r="P7" s="60" t="str">
        <f t="shared" ref="P7" si="18">IFERROR(IF(O7=0,"",IF(OR(O7-$F7&gt;0,O7-$F7&lt;0), (O7-$F7)/$F7, "")),"")</f>
        <v/>
      </c>
      <c r="Q7" s="243"/>
    </row>
    <row r="8" spans="1:17" ht="15.75" customHeight="1" x14ac:dyDescent="0.3">
      <c r="A8" s="185">
        <v>2.4</v>
      </c>
      <c r="B8" s="44" t="s">
        <v>150</v>
      </c>
      <c r="C8" s="58"/>
      <c r="D8" s="117">
        <v>3500</v>
      </c>
      <c r="E8" s="117">
        <v>1</v>
      </c>
      <c r="F8" s="59">
        <f t="shared" si="0"/>
        <v>3500</v>
      </c>
      <c r="G8" s="1"/>
      <c r="H8" s="240"/>
      <c r="I8" s="59">
        <f t="shared" si="7"/>
        <v>0</v>
      </c>
      <c r="J8" s="60" t="str">
        <f t="shared" si="8"/>
        <v/>
      </c>
      <c r="K8" s="241" t="str">
        <f t="shared" si="9"/>
        <v/>
      </c>
      <c r="L8" s="49"/>
      <c r="M8" s="242"/>
      <c r="N8" s="61" t="str">
        <f t="shared" si="10"/>
        <v/>
      </c>
      <c r="O8" s="59" t="str">
        <f t="shared" si="11"/>
        <v/>
      </c>
      <c r="P8" s="60" t="str">
        <f t="shared" si="12"/>
        <v/>
      </c>
      <c r="Q8" s="243"/>
    </row>
    <row r="9" spans="1:17" ht="15.75" customHeight="1" x14ac:dyDescent="0.3">
      <c r="A9" s="185">
        <v>2.5</v>
      </c>
      <c r="B9" s="187" t="s">
        <v>151</v>
      </c>
      <c r="C9" s="58"/>
      <c r="D9" s="117">
        <v>3500</v>
      </c>
      <c r="E9" s="117">
        <v>1</v>
      </c>
      <c r="F9" s="59">
        <f t="shared" si="0"/>
        <v>3500</v>
      </c>
      <c r="G9" s="1"/>
      <c r="H9" s="240"/>
      <c r="I9" s="59">
        <f t="shared" si="7"/>
        <v>0</v>
      </c>
      <c r="J9" s="60" t="str">
        <f t="shared" si="8"/>
        <v/>
      </c>
      <c r="K9" s="241" t="str">
        <f t="shared" si="9"/>
        <v/>
      </c>
      <c r="L9" s="49"/>
      <c r="M9" s="242"/>
      <c r="N9" s="61" t="str">
        <f t="shared" si="10"/>
        <v/>
      </c>
      <c r="O9" s="59" t="str">
        <f t="shared" si="11"/>
        <v/>
      </c>
      <c r="P9" s="60" t="str">
        <f t="shared" si="12"/>
        <v/>
      </c>
      <c r="Q9" s="243"/>
    </row>
    <row r="10" spans="1:17" ht="15.75" customHeight="1" x14ac:dyDescent="0.3">
      <c r="A10" s="185">
        <v>2.6</v>
      </c>
      <c r="B10" s="187" t="s">
        <v>152</v>
      </c>
      <c r="C10" s="58"/>
      <c r="D10" s="117">
        <v>2200</v>
      </c>
      <c r="E10" s="117">
        <v>1</v>
      </c>
      <c r="F10" s="59">
        <f t="shared" si="0"/>
        <v>2200</v>
      </c>
      <c r="G10" s="1"/>
      <c r="H10" s="240"/>
      <c r="I10" s="59">
        <f t="shared" si="7"/>
        <v>0</v>
      </c>
      <c r="J10" s="60" t="str">
        <f t="shared" si="8"/>
        <v/>
      </c>
      <c r="K10" s="241" t="str">
        <f t="shared" si="9"/>
        <v/>
      </c>
      <c r="L10" s="49"/>
      <c r="M10" s="242"/>
      <c r="N10" s="61" t="str">
        <f t="shared" si="10"/>
        <v/>
      </c>
      <c r="O10" s="59" t="str">
        <f t="shared" si="11"/>
        <v/>
      </c>
      <c r="P10" s="60" t="str">
        <f t="shared" si="12"/>
        <v/>
      </c>
      <c r="Q10" s="243"/>
    </row>
    <row r="11" spans="1:17" ht="15.75" customHeight="1" x14ac:dyDescent="0.3">
      <c r="A11" s="185">
        <v>2.7</v>
      </c>
      <c r="B11" s="44" t="s">
        <v>79</v>
      </c>
      <c r="C11" s="58"/>
      <c r="D11" s="117">
        <v>5000</v>
      </c>
      <c r="E11" s="117">
        <v>1</v>
      </c>
      <c r="F11" s="59">
        <f t="shared" si="0"/>
        <v>5000</v>
      </c>
      <c r="G11" s="1"/>
      <c r="H11" s="240"/>
      <c r="I11" s="59">
        <f t="shared" si="7"/>
        <v>0</v>
      </c>
      <c r="J11" s="60" t="str">
        <f t="shared" si="8"/>
        <v/>
      </c>
      <c r="K11" s="241" t="str">
        <f t="shared" si="9"/>
        <v/>
      </c>
      <c r="L11" s="49"/>
      <c r="M11" s="242"/>
      <c r="N11" s="61" t="str">
        <f t="shared" si="10"/>
        <v/>
      </c>
      <c r="O11" s="59" t="str">
        <f t="shared" si="11"/>
        <v/>
      </c>
      <c r="P11" s="60" t="str">
        <f t="shared" si="12"/>
        <v/>
      </c>
      <c r="Q11" s="243"/>
    </row>
    <row r="12" spans="1:17" ht="15.75" customHeight="1" x14ac:dyDescent="0.3">
      <c r="A12" s="185">
        <v>2.8</v>
      </c>
      <c r="B12" s="44" t="s">
        <v>153</v>
      </c>
      <c r="C12" s="63"/>
      <c r="D12" s="117">
        <v>1100</v>
      </c>
      <c r="E12" s="117">
        <v>1</v>
      </c>
      <c r="F12" s="59">
        <f t="shared" si="0"/>
        <v>1100</v>
      </c>
      <c r="G12" s="1"/>
      <c r="H12" s="240"/>
      <c r="I12" s="59">
        <f t="shared" ref="I12:I20" si="19">H12*D12</f>
        <v>0</v>
      </c>
      <c r="J12" s="60" t="str">
        <f t="shared" ref="J12:J20" si="20">IFERROR(IF(I12=0,"",IF(OR(I12-$F12&gt;0,I12-$F12&lt;0), (I12-$F12)/$F12, "")),"")</f>
        <v/>
      </c>
      <c r="K12" s="241" t="str">
        <f t="shared" ref="K12:K20" si="21">IF(H12&gt;E12,"יש להסביר חריגה","")</f>
        <v/>
      </c>
      <c r="L12" s="49"/>
      <c r="M12" s="242"/>
      <c r="N12" s="61" t="str">
        <f t="shared" ref="N12:N20" si="22">IF(ISBLANK(M12), "", IF(M12="מאשר", H12, "נא למלא כמות מאושרת"))</f>
        <v/>
      </c>
      <c r="O12" s="59" t="str">
        <f t="shared" ref="O12:O20" si="23">IFERROR(N12*D12,"")</f>
        <v/>
      </c>
      <c r="P12" s="60" t="str">
        <f t="shared" ref="P12:P20" si="24">IFERROR(IF(O12=0,"",IF(OR(O12-$F12&gt;0,O12-$F12&lt;0), (O12-$F12)/$F12, "")),"")</f>
        <v/>
      </c>
      <c r="Q12" s="243"/>
    </row>
    <row r="13" spans="1:17" ht="15.75" customHeight="1" x14ac:dyDescent="0.3">
      <c r="A13" s="185">
        <v>2.9</v>
      </c>
      <c r="B13" s="44" t="s">
        <v>270</v>
      </c>
      <c r="C13" s="58"/>
      <c r="D13" s="117">
        <v>800</v>
      </c>
      <c r="E13" s="117">
        <v>10</v>
      </c>
      <c r="F13" s="59">
        <f t="shared" si="0"/>
        <v>8000</v>
      </c>
      <c r="G13" s="1"/>
      <c r="H13" s="240"/>
      <c r="I13" s="59">
        <f t="shared" si="19"/>
        <v>0</v>
      </c>
      <c r="J13" s="60" t="str">
        <f t="shared" si="20"/>
        <v/>
      </c>
      <c r="K13" s="241" t="str">
        <f t="shared" si="21"/>
        <v/>
      </c>
      <c r="L13" s="49"/>
      <c r="M13" s="242"/>
      <c r="N13" s="61" t="str">
        <f t="shared" si="22"/>
        <v/>
      </c>
      <c r="O13" s="59" t="str">
        <f t="shared" si="23"/>
        <v/>
      </c>
      <c r="P13" s="60" t="str">
        <f t="shared" si="24"/>
        <v/>
      </c>
      <c r="Q13" s="243"/>
    </row>
    <row r="14" spans="1:17" ht="15.75" customHeight="1" x14ac:dyDescent="0.3">
      <c r="A14" s="186">
        <v>2.1</v>
      </c>
      <c r="B14" s="44" t="s">
        <v>307</v>
      </c>
      <c r="C14" s="58"/>
      <c r="D14" s="117">
        <v>300</v>
      </c>
      <c r="E14" s="117">
        <v>10</v>
      </c>
      <c r="F14" s="59">
        <f t="shared" si="0"/>
        <v>3000</v>
      </c>
      <c r="G14" s="1"/>
      <c r="H14" s="240"/>
      <c r="I14" s="59">
        <f t="shared" si="19"/>
        <v>0</v>
      </c>
      <c r="J14" s="60" t="str">
        <f t="shared" si="20"/>
        <v/>
      </c>
      <c r="K14" s="241" t="str">
        <f t="shared" si="21"/>
        <v/>
      </c>
      <c r="L14" s="49"/>
      <c r="M14" s="242"/>
      <c r="N14" s="61" t="str">
        <f t="shared" si="22"/>
        <v/>
      </c>
      <c r="O14" s="59" t="str">
        <f t="shared" si="23"/>
        <v/>
      </c>
      <c r="P14" s="60" t="str">
        <f t="shared" si="24"/>
        <v/>
      </c>
      <c r="Q14" s="243"/>
    </row>
    <row r="15" spans="1:17" ht="15.75" customHeight="1" x14ac:dyDescent="0.3">
      <c r="A15" s="186">
        <v>2.11</v>
      </c>
      <c r="B15" s="187" t="s">
        <v>76</v>
      </c>
      <c r="C15" s="58"/>
      <c r="D15" s="117">
        <v>600</v>
      </c>
      <c r="E15" s="117">
        <v>10</v>
      </c>
      <c r="F15" s="59">
        <f t="shared" si="0"/>
        <v>6000</v>
      </c>
      <c r="G15" s="1"/>
      <c r="H15" s="240"/>
      <c r="I15" s="59">
        <f t="shared" si="19"/>
        <v>0</v>
      </c>
      <c r="J15" s="60" t="str">
        <f t="shared" si="20"/>
        <v/>
      </c>
      <c r="K15" s="241" t="str">
        <f t="shared" si="21"/>
        <v/>
      </c>
      <c r="L15" s="49"/>
      <c r="M15" s="242"/>
      <c r="N15" s="61" t="str">
        <f t="shared" si="22"/>
        <v/>
      </c>
      <c r="O15" s="59" t="str">
        <f t="shared" si="23"/>
        <v/>
      </c>
      <c r="P15" s="60" t="str">
        <f t="shared" si="24"/>
        <v/>
      </c>
      <c r="Q15" s="243"/>
    </row>
    <row r="16" spans="1:17" ht="15.75" customHeight="1" x14ac:dyDescent="0.3">
      <c r="A16" s="186">
        <v>2.12</v>
      </c>
      <c r="B16" s="44" t="s">
        <v>80</v>
      </c>
      <c r="C16" s="58"/>
      <c r="D16" s="117">
        <v>900</v>
      </c>
      <c r="E16" s="117">
        <v>7</v>
      </c>
      <c r="F16" s="59">
        <f t="shared" si="0"/>
        <v>6300</v>
      </c>
      <c r="G16" s="1"/>
      <c r="H16" s="240"/>
      <c r="I16" s="59">
        <f t="shared" si="19"/>
        <v>0</v>
      </c>
      <c r="J16" s="60" t="str">
        <f t="shared" si="20"/>
        <v/>
      </c>
      <c r="K16" s="241" t="str">
        <f t="shared" si="21"/>
        <v/>
      </c>
      <c r="L16" s="49"/>
      <c r="M16" s="242"/>
      <c r="N16" s="61" t="str">
        <f t="shared" si="22"/>
        <v/>
      </c>
      <c r="O16" s="59" t="str">
        <f t="shared" si="23"/>
        <v/>
      </c>
      <c r="P16" s="60" t="str">
        <f t="shared" si="24"/>
        <v/>
      </c>
      <c r="Q16" s="243"/>
    </row>
    <row r="17" spans="1:17" ht="15.75" customHeight="1" x14ac:dyDescent="0.3">
      <c r="A17" s="186">
        <v>2.13</v>
      </c>
      <c r="B17" s="44" t="s">
        <v>81</v>
      </c>
      <c r="C17" s="58" t="s">
        <v>156</v>
      </c>
      <c r="D17" s="117">
        <v>7000</v>
      </c>
      <c r="E17" s="117">
        <v>1</v>
      </c>
      <c r="F17" s="59">
        <f t="shared" si="0"/>
        <v>7000</v>
      </c>
      <c r="G17" s="1"/>
      <c r="H17" s="240"/>
      <c r="I17" s="59">
        <f t="shared" si="19"/>
        <v>0</v>
      </c>
      <c r="J17" s="60" t="str">
        <f t="shared" si="20"/>
        <v/>
      </c>
      <c r="K17" s="241" t="str">
        <f t="shared" si="21"/>
        <v/>
      </c>
      <c r="L17" s="49"/>
      <c r="M17" s="242"/>
      <c r="N17" s="61" t="str">
        <f t="shared" si="22"/>
        <v/>
      </c>
      <c r="O17" s="59" t="str">
        <f t="shared" si="23"/>
        <v/>
      </c>
      <c r="P17" s="60" t="str">
        <f t="shared" si="24"/>
        <v/>
      </c>
      <c r="Q17" s="243"/>
    </row>
    <row r="18" spans="1:17" ht="15.75" customHeight="1" x14ac:dyDescent="0.3">
      <c r="A18" s="186">
        <v>2.14</v>
      </c>
      <c r="B18" s="44" t="s">
        <v>82</v>
      </c>
      <c r="C18" s="58" t="s">
        <v>156</v>
      </c>
      <c r="D18" s="117">
        <v>20000</v>
      </c>
      <c r="E18" s="117">
        <v>1</v>
      </c>
      <c r="F18" s="59">
        <f t="shared" si="0"/>
        <v>20000</v>
      </c>
      <c r="G18" s="1"/>
      <c r="H18" s="240"/>
      <c r="I18" s="59">
        <f t="shared" si="19"/>
        <v>0</v>
      </c>
      <c r="J18" s="60" t="str">
        <f t="shared" si="20"/>
        <v/>
      </c>
      <c r="K18" s="241" t="str">
        <f t="shared" si="21"/>
        <v/>
      </c>
      <c r="L18" s="49"/>
      <c r="M18" s="242"/>
      <c r="N18" s="61" t="str">
        <f t="shared" si="22"/>
        <v/>
      </c>
      <c r="O18" s="59" t="str">
        <f t="shared" si="23"/>
        <v/>
      </c>
      <c r="P18" s="60" t="str">
        <f t="shared" si="24"/>
        <v/>
      </c>
      <c r="Q18" s="243"/>
    </row>
    <row r="19" spans="1:17" ht="15.75" customHeight="1" x14ac:dyDescent="0.3">
      <c r="A19" s="186">
        <v>2.15</v>
      </c>
      <c r="B19" s="187" t="s">
        <v>166</v>
      </c>
      <c r="C19" s="58" t="s">
        <v>156</v>
      </c>
      <c r="D19" s="117">
        <v>15000</v>
      </c>
      <c r="E19" s="117">
        <v>1</v>
      </c>
      <c r="F19" s="59">
        <f t="shared" si="0"/>
        <v>15000</v>
      </c>
      <c r="G19" s="1"/>
      <c r="H19" s="240"/>
      <c r="I19" s="59">
        <f t="shared" si="19"/>
        <v>0</v>
      </c>
      <c r="J19" s="60" t="str">
        <f t="shared" si="20"/>
        <v/>
      </c>
      <c r="K19" s="241" t="str">
        <f t="shared" si="21"/>
        <v/>
      </c>
      <c r="L19" s="49"/>
      <c r="M19" s="242"/>
      <c r="N19" s="61" t="str">
        <f t="shared" si="22"/>
        <v/>
      </c>
      <c r="O19" s="59" t="str">
        <f t="shared" si="23"/>
        <v/>
      </c>
      <c r="P19" s="60" t="str">
        <f t="shared" si="24"/>
        <v/>
      </c>
      <c r="Q19" s="243"/>
    </row>
    <row r="20" spans="1:17" ht="14" x14ac:dyDescent="0.3">
      <c r="A20" s="186">
        <v>2.16</v>
      </c>
      <c r="B20" s="187" t="s">
        <v>165</v>
      </c>
      <c r="C20" s="58" t="s">
        <v>156</v>
      </c>
      <c r="D20" s="117">
        <v>15000</v>
      </c>
      <c r="E20" s="117">
        <v>1</v>
      </c>
      <c r="F20" s="59">
        <f t="shared" si="0"/>
        <v>15000</v>
      </c>
      <c r="G20" s="1"/>
      <c r="H20" s="240"/>
      <c r="I20" s="59">
        <f t="shared" si="19"/>
        <v>0</v>
      </c>
      <c r="J20" s="60" t="str">
        <f t="shared" si="20"/>
        <v/>
      </c>
      <c r="K20" s="241" t="str">
        <f t="shared" si="21"/>
        <v/>
      </c>
      <c r="L20" s="49"/>
      <c r="M20" s="242"/>
      <c r="N20" s="61" t="str">
        <f t="shared" si="22"/>
        <v/>
      </c>
      <c r="O20" s="59" t="str">
        <f t="shared" si="23"/>
        <v/>
      </c>
      <c r="P20" s="60" t="str">
        <f t="shared" si="24"/>
        <v/>
      </c>
      <c r="Q20" s="243"/>
    </row>
    <row r="21" spans="1:17" ht="15.75" customHeight="1" x14ac:dyDescent="0.3">
      <c r="A21" s="80" t="s">
        <v>144</v>
      </c>
      <c r="B21" s="47" t="str">
        <f>B2</f>
        <v>ציוד טיפולי והידרותרפיה</v>
      </c>
      <c r="C21" s="81"/>
      <c r="D21" s="119"/>
      <c r="E21" s="114"/>
      <c r="F21" s="64">
        <f>SUM(F5:F20)</f>
        <v>124800</v>
      </c>
      <c r="G21" s="1"/>
      <c r="H21" s="62"/>
      <c r="I21" s="64">
        <f>SUM(I5:I20)</f>
        <v>0</v>
      </c>
      <c r="J21" s="65" t="str">
        <f t="shared" si="2"/>
        <v/>
      </c>
      <c r="K21" s="66" t="str">
        <f>B21</f>
        <v>ציוד טיפולי והידרותרפיה</v>
      </c>
      <c r="L21" s="1"/>
      <c r="M21" s="67"/>
      <c r="N21" s="68"/>
      <c r="O21" s="64">
        <f>SUM(O5:O20)</f>
        <v>0</v>
      </c>
      <c r="P21" s="65" t="str">
        <f t="shared" ref="P21" si="25">IFERROR(IF(O21=0,"",IF(OR(O21-$F21&gt;0,O21-$F21&lt;0), (O21-$F21)/$F21, "")),"")</f>
        <v/>
      </c>
      <c r="Q21" s="66" t="str">
        <f>B21</f>
        <v>ציוד טיפולי והידרותרפיה</v>
      </c>
    </row>
  </sheetData>
  <sheetProtection algorithmName="SHA-512" hashValue="aKrOt7FUaOyc72GI1lkpa57DqvM6kox0cCeCv2JrmhU023pF4oA8lsSjF2GHrBQuscvjsXM+V8ktfXvE9LGRfg==" saltValue="sJC0AY3AU6en9bFlxMI5Sg==" spinCount="100000" sheet="1" formatCells="0" formatColumns="0" formatRows="0"/>
  <conditionalFormatting sqref="J5:J21 P5:P21">
    <cfRule type="cellIs" dxfId="9" priority="2" operator="greaterThan">
      <formula>0</formula>
    </cfRule>
  </conditionalFormatting>
  <dataValidations count="1">
    <dataValidation type="list" allowBlank="1" showErrorMessage="1" sqref="M5:M20">
      <formula1>"מאשר,מאשר חלקי"</formula1>
    </dataValidation>
  </dataValidation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rightToLeft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2.58203125" defaultRowHeight="15" customHeight="1" x14ac:dyDescent="0.3"/>
  <cols>
    <col min="1" max="1" width="4.5" customWidth="1"/>
    <col min="2" max="2" width="36.33203125" customWidth="1"/>
    <col min="3" max="3" width="10.08203125" customWidth="1"/>
    <col min="4" max="4" width="8.5" style="120" customWidth="1"/>
    <col min="5" max="5" width="6.33203125" style="120" customWidth="1"/>
    <col min="6" max="6" width="10.33203125" customWidth="1"/>
    <col min="7" max="7" width="1.25" customWidth="1"/>
    <col min="8" max="8" width="9" customWidth="1"/>
    <col min="9" max="9" width="11.08203125" customWidth="1"/>
    <col min="10" max="10" width="9" customWidth="1"/>
    <col min="11" max="11" width="13.75" customWidth="1"/>
    <col min="12" max="12" width="1.25" customWidth="1"/>
    <col min="13" max="13" width="13.25" customWidth="1"/>
    <col min="14" max="14" width="10.58203125" customWidth="1"/>
    <col min="15" max="15" width="10.33203125" customWidth="1"/>
    <col min="16" max="16" width="10.08203125" customWidth="1"/>
    <col min="17" max="17" width="17.33203125" customWidth="1"/>
    <col min="18" max="16383" width="9" customWidth="1"/>
  </cols>
  <sheetData>
    <row r="1" spans="1:17" ht="14" x14ac:dyDescent="0.3">
      <c r="A1" s="49" t="str">
        <f>פתיח!$D$11</f>
        <v xml:space="preserve">תקן הצטיידות לבריכות טיפוליות </v>
      </c>
      <c r="B1" s="1"/>
      <c r="C1" s="11"/>
      <c r="D1" s="113"/>
      <c r="E1" s="113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" x14ac:dyDescent="0.3">
      <c r="A2" s="33">
        <f>'תוכן עניינים'!B17</f>
        <v>3</v>
      </c>
      <c r="B2" s="33" t="str">
        <f>'תוכן עניינים'!C17</f>
        <v>ציוד אבחון</v>
      </c>
      <c r="C2" s="11"/>
      <c r="D2" s="113"/>
      <c r="E2" s="113"/>
      <c r="F2" s="32"/>
      <c r="G2" s="1"/>
      <c r="H2" s="34" t="s">
        <v>43</v>
      </c>
      <c r="I2" s="35"/>
      <c r="J2" s="35"/>
      <c r="K2" s="36"/>
      <c r="L2" s="1"/>
      <c r="M2" s="1"/>
      <c r="N2" s="1"/>
      <c r="O2" s="1"/>
      <c r="P2" s="1"/>
      <c r="Q2" s="1"/>
    </row>
    <row r="3" spans="1:17" ht="14" x14ac:dyDescent="0.3">
      <c r="A3" s="37"/>
      <c r="B3" s="38" t="s">
        <v>44</v>
      </c>
      <c r="C3" s="38"/>
      <c r="D3" s="114"/>
      <c r="E3" s="114"/>
      <c r="F3" s="40"/>
      <c r="G3" s="1"/>
      <c r="H3" s="41"/>
      <c r="I3" s="39" t="s">
        <v>45</v>
      </c>
      <c r="J3" s="39"/>
      <c r="K3" s="40"/>
      <c r="L3" s="1"/>
      <c r="M3" s="41"/>
      <c r="N3" s="39" t="s">
        <v>46</v>
      </c>
      <c r="O3" s="39"/>
      <c r="P3" s="39"/>
      <c r="Q3" s="40"/>
    </row>
    <row r="4" spans="1:17" ht="28" x14ac:dyDescent="0.3">
      <c r="A4" s="42" t="s">
        <v>47</v>
      </c>
      <c r="B4" s="42" t="s">
        <v>48</v>
      </c>
      <c r="C4" s="42" t="s">
        <v>49</v>
      </c>
      <c r="D4" s="43" t="s">
        <v>50</v>
      </c>
      <c r="E4" s="43" t="s">
        <v>51</v>
      </c>
      <c r="F4" s="43" t="s">
        <v>52</v>
      </c>
      <c r="G4" s="1"/>
      <c r="H4" s="44" t="s">
        <v>53</v>
      </c>
      <c r="I4" s="44" t="s">
        <v>54</v>
      </c>
      <c r="J4" s="45" t="s">
        <v>55</v>
      </c>
      <c r="K4" s="42" t="s">
        <v>56</v>
      </c>
      <c r="L4" s="1"/>
      <c r="M4" s="44" t="s">
        <v>57</v>
      </c>
      <c r="N4" s="44" t="s">
        <v>58</v>
      </c>
      <c r="O4" s="44" t="s">
        <v>54</v>
      </c>
      <c r="P4" s="43" t="s">
        <v>55</v>
      </c>
      <c r="Q4" s="43" t="s">
        <v>59</v>
      </c>
    </row>
    <row r="5" spans="1:17" ht="15.75" customHeight="1" x14ac:dyDescent="0.3">
      <c r="A5" s="185">
        <v>3.1</v>
      </c>
      <c r="B5" s="44" t="s">
        <v>271</v>
      </c>
      <c r="C5" s="47"/>
      <c r="D5" s="117">
        <v>3500</v>
      </c>
      <c r="E5" s="117">
        <v>1</v>
      </c>
      <c r="F5" s="59">
        <f t="shared" ref="F5:F9" si="0">D5*E5</f>
        <v>3500</v>
      </c>
      <c r="G5" s="1"/>
      <c r="H5" s="240"/>
      <c r="I5" s="59">
        <f t="shared" ref="I5" si="1">H5*D5</f>
        <v>0</v>
      </c>
      <c r="J5" s="60" t="str">
        <f t="shared" ref="J5" si="2">IFERROR(IF(I5=0,"",IF(OR(I5-$F5&gt;0,I5-$F5&lt;0), (I5-$F5)/$F5, "")),"")</f>
        <v/>
      </c>
      <c r="K5" s="241" t="str">
        <f t="shared" ref="K5" si="3">IF(H5&gt;E5,"יש להסביר חריגה","")</f>
        <v/>
      </c>
      <c r="L5" s="1"/>
      <c r="M5" s="242"/>
      <c r="N5" s="61" t="str">
        <f t="shared" ref="N5" si="4">IF(ISBLANK(M5), "", IF(M5="מאשר", H5, "נא למלא כמות מאושרת"))</f>
        <v/>
      </c>
      <c r="O5" s="59" t="str">
        <f t="shared" ref="O5" si="5">IFERROR(N5*D5,"")</f>
        <v/>
      </c>
      <c r="P5" s="60" t="str">
        <f t="shared" ref="P5" si="6">IFERROR(IF(O5=0,"",IF(OR(O5-$F5&gt;0,O5-$F5&lt;0), (O5-$F5)/$F5, "")),"")</f>
        <v/>
      </c>
      <c r="Q5" s="243"/>
    </row>
    <row r="6" spans="1:17" ht="15.75" customHeight="1" x14ac:dyDescent="0.3">
      <c r="A6" s="185">
        <v>3.2</v>
      </c>
      <c r="B6" s="44" t="s">
        <v>272</v>
      </c>
      <c r="C6" s="47"/>
      <c r="D6" s="117">
        <v>2000</v>
      </c>
      <c r="E6" s="117">
        <v>1</v>
      </c>
      <c r="F6" s="59">
        <f t="shared" si="0"/>
        <v>2000</v>
      </c>
      <c r="G6" s="1"/>
      <c r="H6" s="240"/>
      <c r="I6" s="59">
        <f t="shared" ref="I6:I9" si="7">H6*D6</f>
        <v>0</v>
      </c>
      <c r="J6" s="60" t="str">
        <f t="shared" ref="J6:J9" si="8">IFERROR(IF(I6=0,"",IF(OR(I6-$F6&gt;0,I6-$F6&lt;0), (I6-$F6)/$F6, "")),"")</f>
        <v/>
      </c>
      <c r="K6" s="241" t="str">
        <f t="shared" ref="K6:K9" si="9">IF(H6&gt;E6,"יש להסביר חריגה","")</f>
        <v/>
      </c>
      <c r="L6" s="1"/>
      <c r="M6" s="242"/>
      <c r="N6" s="61" t="str">
        <f t="shared" ref="N6:N9" si="10">IF(ISBLANK(M6), "", IF(M6="מאשר", H6, "נא למלא כמות מאושרת"))</f>
        <v/>
      </c>
      <c r="O6" s="59" t="str">
        <f t="shared" ref="O6:O9" si="11">IFERROR(N6*D6,"")</f>
        <v/>
      </c>
      <c r="P6" s="60" t="str">
        <f t="shared" ref="P6:P9" si="12">IFERROR(IF(O6=0,"",IF(OR(O6-$F6&gt;0,O6-$F6&lt;0), (O6-$F6)/$F6, "")),"")</f>
        <v/>
      </c>
      <c r="Q6" s="243"/>
    </row>
    <row r="7" spans="1:17" ht="15.75" customHeight="1" x14ac:dyDescent="0.3">
      <c r="A7" s="185">
        <v>3.3</v>
      </c>
      <c r="B7" s="44" t="s">
        <v>155</v>
      </c>
      <c r="C7" s="58"/>
      <c r="D7" s="117">
        <v>1500</v>
      </c>
      <c r="E7" s="117">
        <v>1</v>
      </c>
      <c r="F7" s="59">
        <f t="shared" si="0"/>
        <v>1500</v>
      </c>
      <c r="G7" s="1"/>
      <c r="H7" s="240"/>
      <c r="I7" s="59">
        <f t="shared" si="7"/>
        <v>0</v>
      </c>
      <c r="J7" s="60" t="str">
        <f t="shared" si="8"/>
        <v/>
      </c>
      <c r="K7" s="241" t="str">
        <f t="shared" si="9"/>
        <v/>
      </c>
      <c r="L7" s="1"/>
      <c r="M7" s="242"/>
      <c r="N7" s="61" t="str">
        <f t="shared" si="10"/>
        <v/>
      </c>
      <c r="O7" s="59" t="str">
        <f t="shared" si="11"/>
        <v/>
      </c>
      <c r="P7" s="60" t="str">
        <f t="shared" si="12"/>
        <v/>
      </c>
      <c r="Q7" s="243"/>
    </row>
    <row r="8" spans="1:17" ht="15.75" customHeight="1" x14ac:dyDescent="0.3">
      <c r="A8" s="185">
        <v>3.4</v>
      </c>
      <c r="B8" s="44" t="s">
        <v>273</v>
      </c>
      <c r="C8" s="58"/>
      <c r="D8" s="117">
        <v>2000</v>
      </c>
      <c r="E8" s="117">
        <v>1</v>
      </c>
      <c r="F8" s="59">
        <f t="shared" si="0"/>
        <v>2000</v>
      </c>
      <c r="G8" s="1"/>
      <c r="H8" s="240"/>
      <c r="I8" s="59">
        <f t="shared" si="7"/>
        <v>0</v>
      </c>
      <c r="J8" s="60" t="str">
        <f t="shared" si="8"/>
        <v/>
      </c>
      <c r="K8" s="241" t="str">
        <f t="shared" si="9"/>
        <v/>
      </c>
      <c r="L8" s="1"/>
      <c r="M8" s="242"/>
      <c r="N8" s="61" t="str">
        <f t="shared" si="10"/>
        <v/>
      </c>
      <c r="O8" s="59" t="str">
        <f t="shared" si="11"/>
        <v/>
      </c>
      <c r="P8" s="60" t="str">
        <f t="shared" si="12"/>
        <v/>
      </c>
      <c r="Q8" s="243"/>
    </row>
    <row r="9" spans="1:17" ht="15.75" customHeight="1" x14ac:dyDescent="0.3">
      <c r="A9" s="185">
        <v>3.5</v>
      </c>
      <c r="B9" s="121" t="s">
        <v>75</v>
      </c>
      <c r="C9" s="188" t="s">
        <v>156</v>
      </c>
      <c r="D9" s="117">
        <v>2000</v>
      </c>
      <c r="E9" s="117">
        <v>1</v>
      </c>
      <c r="F9" s="59">
        <f t="shared" si="0"/>
        <v>2000</v>
      </c>
      <c r="G9" s="1"/>
      <c r="H9" s="240"/>
      <c r="I9" s="59">
        <f t="shared" si="7"/>
        <v>0</v>
      </c>
      <c r="J9" s="60" t="str">
        <f t="shared" si="8"/>
        <v/>
      </c>
      <c r="K9" s="241" t="str">
        <f t="shared" si="9"/>
        <v/>
      </c>
      <c r="L9" s="1"/>
      <c r="M9" s="242"/>
      <c r="N9" s="61" t="str">
        <f t="shared" si="10"/>
        <v/>
      </c>
      <c r="O9" s="59" t="str">
        <f t="shared" si="11"/>
        <v/>
      </c>
      <c r="P9" s="60" t="str">
        <f t="shared" si="12"/>
        <v/>
      </c>
      <c r="Q9" s="243"/>
    </row>
    <row r="10" spans="1:17" ht="15.75" customHeight="1" x14ac:dyDescent="0.3">
      <c r="A10" s="200" t="s">
        <v>144</v>
      </c>
      <c r="B10" s="47" t="str">
        <f>B2</f>
        <v>ציוד אבחון</v>
      </c>
      <c r="C10" s="81"/>
      <c r="D10" s="119"/>
      <c r="E10" s="114"/>
      <c r="F10" s="64">
        <f>SUM(F5:F9)</f>
        <v>11000</v>
      </c>
      <c r="G10" s="1"/>
      <c r="H10" s="62"/>
      <c r="I10" s="64">
        <f>SUM(I5:I9)</f>
        <v>0</v>
      </c>
      <c r="J10" s="65" t="str">
        <f t="shared" ref="J10" si="13">IFERROR(IF(I10=0,"",IF(OR(I10-$F10&gt;0,I10-$F10&lt;0), (I10-$F10)/$F10, "")),"")</f>
        <v/>
      </c>
      <c r="K10" s="66" t="str">
        <f>B10</f>
        <v>ציוד אבחון</v>
      </c>
      <c r="L10" s="1"/>
      <c r="M10" s="67"/>
      <c r="N10" s="68"/>
      <c r="O10" s="64">
        <f>SUM(O5:O9)</f>
        <v>0</v>
      </c>
      <c r="P10" s="65" t="str">
        <f t="shared" ref="P10" si="14">IFERROR(IF(O10=0,"",IF(OR(O10-$F10&gt;0,O10-$F10&lt;0), (O10-$F10)/$F10, "")),"")</f>
        <v/>
      </c>
      <c r="Q10" s="66" t="str">
        <f>B10</f>
        <v>ציוד אבחון</v>
      </c>
    </row>
  </sheetData>
  <sheetProtection algorithmName="SHA-512" hashValue="cBOlRq2rQsAn+h1PltG8GN/9stIt8f20AEq2oiDFGTwbfLdt9EEB0DMosmzKb+/+2wwbNfOa7eNdAgHf5YqMqg==" saltValue="sxzzLwz8ciy+JMLRR+kT5A==" spinCount="100000" sheet="1" formatCells="0" formatColumns="0" formatRows="0"/>
  <conditionalFormatting sqref="P10 J5:J10 P6:P8">
    <cfRule type="cellIs" dxfId="8" priority="10" operator="greaterThan">
      <formula>0</formula>
    </cfRule>
  </conditionalFormatting>
  <conditionalFormatting sqref="P5 P9">
    <cfRule type="cellIs" dxfId="7" priority="3" operator="greaterThan">
      <formula>0</formula>
    </cfRule>
  </conditionalFormatting>
  <dataValidations count="1">
    <dataValidation type="list" allowBlank="1" showErrorMessage="1" sqref="M5:M9">
      <formula1>"מאשר,מאשר חלקי"</formula1>
    </dataValidation>
  </dataValidation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1"/>
  <sheetViews>
    <sheetView rightToLeft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2.58203125" defaultRowHeight="14" x14ac:dyDescent="0.3"/>
  <cols>
    <col min="1" max="1" width="5.25" style="190" customWidth="1"/>
    <col min="2" max="2" width="30.58203125" style="132" customWidth="1"/>
    <col min="3" max="3" width="27.5" style="190" customWidth="1"/>
    <col min="4" max="4" width="8.5" style="132" customWidth="1"/>
    <col min="5" max="5" width="6.33203125" style="132" customWidth="1"/>
    <col min="6" max="6" width="10.33203125" style="132" customWidth="1"/>
    <col min="7" max="7" width="1.25" style="120" customWidth="1"/>
    <col min="8" max="8" width="9" style="120" customWidth="1"/>
    <col min="9" max="9" width="11.08203125" style="120" customWidth="1"/>
    <col min="10" max="10" width="9" style="120" customWidth="1"/>
    <col min="11" max="11" width="13.75" style="196" customWidth="1"/>
    <col min="12" max="12" width="1.25" style="120" customWidth="1"/>
    <col min="13" max="13" width="11" style="120" customWidth="1"/>
    <col min="14" max="14" width="10.58203125" style="120" customWidth="1"/>
    <col min="15" max="15" width="10.33203125" style="120" customWidth="1"/>
    <col min="16" max="16" width="10.08203125" style="120" customWidth="1"/>
    <col min="17" max="17" width="21.75" style="120" customWidth="1"/>
    <col min="18" max="16383" width="9" style="120" customWidth="1"/>
    <col min="16384" max="16384" width="12.58203125" style="120"/>
  </cols>
  <sheetData>
    <row r="1" spans="1:17" x14ac:dyDescent="0.3">
      <c r="A1" s="49" t="str">
        <f>פתיח!$D$11</f>
        <v xml:space="preserve">תקן הצטיידות לבריכות טיפוליות </v>
      </c>
      <c r="B1" s="130"/>
      <c r="C1" s="189"/>
      <c r="D1" s="130"/>
      <c r="E1" s="130"/>
      <c r="F1" s="131"/>
      <c r="G1" s="113"/>
      <c r="H1" s="113"/>
      <c r="I1" s="113"/>
      <c r="J1" s="113"/>
      <c r="K1" s="11"/>
      <c r="L1" s="113"/>
      <c r="M1" s="113"/>
      <c r="N1" s="113"/>
      <c r="O1" s="113"/>
      <c r="P1" s="113"/>
      <c r="Q1" s="113"/>
    </row>
    <row r="2" spans="1:17" x14ac:dyDescent="0.3">
      <c r="A2" s="220">
        <f>'תוכן עניינים'!B18</f>
        <v>4</v>
      </c>
      <c r="B2" s="133" t="str">
        <f>'תוכן עניינים'!C18</f>
        <v>ציוד מקלחונים וחדרי שירותים</v>
      </c>
      <c r="C2" s="189"/>
      <c r="D2" s="130"/>
      <c r="E2" s="130"/>
      <c r="F2" s="131"/>
      <c r="G2" s="113"/>
      <c r="H2" s="34" t="s">
        <v>43</v>
      </c>
      <c r="I2" s="35"/>
      <c r="J2" s="35"/>
      <c r="K2" s="198"/>
      <c r="L2" s="113"/>
      <c r="M2" s="113"/>
      <c r="N2" s="113"/>
      <c r="O2" s="113"/>
      <c r="P2" s="113"/>
      <c r="Q2" s="113"/>
    </row>
    <row r="3" spans="1:17" x14ac:dyDescent="0.3">
      <c r="A3" s="221"/>
      <c r="B3" s="135" t="s">
        <v>44</v>
      </c>
      <c r="C3" s="226"/>
      <c r="D3" s="135"/>
      <c r="E3" s="135"/>
      <c r="F3" s="136"/>
      <c r="G3" s="113"/>
      <c r="H3" s="159"/>
      <c r="I3" s="114" t="s">
        <v>45</v>
      </c>
      <c r="J3" s="114"/>
      <c r="K3" s="199"/>
      <c r="L3" s="113"/>
      <c r="M3" s="159"/>
      <c r="N3" s="114" t="s">
        <v>46</v>
      </c>
      <c r="O3" s="114"/>
      <c r="P3" s="114"/>
      <c r="Q3" s="160"/>
    </row>
    <row r="4" spans="1:17" ht="28" x14ac:dyDescent="0.3">
      <c r="A4" s="193" t="s">
        <v>47</v>
      </c>
      <c r="B4" s="125" t="s">
        <v>83</v>
      </c>
      <c r="C4" s="193" t="s">
        <v>49</v>
      </c>
      <c r="D4" s="125" t="s">
        <v>50</v>
      </c>
      <c r="E4" s="125" t="s">
        <v>51</v>
      </c>
      <c r="F4" s="125" t="s">
        <v>52</v>
      </c>
      <c r="G4" s="113"/>
      <c r="H4" s="161" t="s">
        <v>53</v>
      </c>
      <c r="I4" s="161" t="s">
        <v>54</v>
      </c>
      <c r="J4" s="162" t="s">
        <v>55</v>
      </c>
      <c r="K4" s="42" t="s">
        <v>56</v>
      </c>
      <c r="L4" s="113"/>
      <c r="M4" s="161" t="s">
        <v>57</v>
      </c>
      <c r="N4" s="161" t="s">
        <v>58</v>
      </c>
      <c r="O4" s="161" t="s">
        <v>54</v>
      </c>
      <c r="P4" s="43" t="s">
        <v>55</v>
      </c>
      <c r="Q4" s="43" t="s">
        <v>59</v>
      </c>
    </row>
    <row r="5" spans="1:17" x14ac:dyDescent="0.3">
      <c r="A5" s="194">
        <v>4.0999999999999996</v>
      </c>
      <c r="B5" s="145" t="s">
        <v>162</v>
      </c>
      <c r="C5" s="227"/>
      <c r="D5" s="153"/>
      <c r="E5" s="157"/>
      <c r="F5" s="201"/>
      <c r="G5" s="166"/>
      <c r="H5" s="167"/>
      <c r="I5" s="168" t="str">
        <f>B5</f>
        <v>ציוד נגישות  למקלחונים וחדרי שירותים</v>
      </c>
      <c r="J5" s="169"/>
      <c r="K5" s="53"/>
      <c r="L5" s="166"/>
      <c r="M5" s="170"/>
      <c r="N5" s="171" t="str">
        <f>I5</f>
        <v>ציוד נגישות  למקלחונים וחדרי שירותים</v>
      </c>
      <c r="O5" s="172"/>
      <c r="P5" s="172"/>
      <c r="Q5" s="165"/>
    </row>
    <row r="6" spans="1:17" x14ac:dyDescent="0.3">
      <c r="A6" s="185" t="s">
        <v>198</v>
      </c>
      <c r="B6" s="137" t="s">
        <v>84</v>
      </c>
      <c r="C6" s="228" t="s">
        <v>301</v>
      </c>
      <c r="D6" s="122">
        <v>6000</v>
      </c>
      <c r="E6" s="202">
        <f>'שאלון למילוי מגיש הבקשה - חובה'!$D$37</f>
        <v>0</v>
      </c>
      <c r="F6" s="126">
        <f t="shared" ref="F6:F22" si="0">D6*E6</f>
        <v>0</v>
      </c>
      <c r="G6" s="113"/>
      <c r="H6" s="240"/>
      <c r="I6" s="59">
        <f t="shared" ref="I6" si="1">H6*D6</f>
        <v>0</v>
      </c>
      <c r="J6" s="60" t="str">
        <f t="shared" ref="J6" si="2">IFERROR(IF(I6=0,"",IF(OR(I6-$F6&gt;0,I6-$F6&lt;0), (I6-$F6)/$F6, "")),"")</f>
        <v/>
      </c>
      <c r="K6" s="241" t="str">
        <f t="shared" ref="K6" si="3">IF(H6&gt;E6,"יש להסביר חריגה","")</f>
        <v/>
      </c>
      <c r="L6" s="113"/>
      <c r="M6" s="244"/>
      <c r="N6" s="173" t="str">
        <f t="shared" ref="N6:N11" si="4">IF(ISBLANK(M6), "", IF(M6="מאשר", H6, "נא למלא כמות מאושרת"))</f>
        <v/>
      </c>
      <c r="O6" s="59" t="str">
        <f t="shared" ref="O6:O11" si="5">IFERROR(N6*D6,"")</f>
        <v/>
      </c>
      <c r="P6" s="60" t="str">
        <f t="shared" ref="P6:P11" si="6">IFERROR(IF(O6=0,"",IF(OR(O6-$F6&gt;0,O6-$F6&lt;0), (O6-$F6)/$F6, "")),"")</f>
        <v/>
      </c>
      <c r="Q6" s="245"/>
    </row>
    <row r="7" spans="1:17" x14ac:dyDescent="0.3">
      <c r="A7" s="185" t="s">
        <v>200</v>
      </c>
      <c r="B7" s="137" t="s">
        <v>85</v>
      </c>
      <c r="C7" s="228" t="s">
        <v>301</v>
      </c>
      <c r="D7" s="122">
        <v>12000</v>
      </c>
      <c r="E7" s="202">
        <f>'שאלון למילוי מגיש הבקשה - חובה'!$D$37</f>
        <v>0</v>
      </c>
      <c r="F7" s="126">
        <f t="shared" si="0"/>
        <v>0</v>
      </c>
      <c r="G7" s="113"/>
      <c r="H7" s="240"/>
      <c r="I7" s="59">
        <f t="shared" ref="I7:I22" si="7">H7*D7</f>
        <v>0</v>
      </c>
      <c r="J7" s="60" t="str">
        <f t="shared" ref="J7:J22" si="8">IFERROR(IF(I7=0,"",IF(OR(I7-$F7&gt;0,I7-$F7&lt;0), (I7-$F7)/$F7, "")),"")</f>
        <v/>
      </c>
      <c r="K7" s="241" t="str">
        <f t="shared" ref="K7:K22" si="9">IF(H7&gt;E7,"יש להסביר חריגה","")</f>
        <v/>
      </c>
      <c r="L7" s="113"/>
      <c r="M7" s="244"/>
      <c r="N7" s="173" t="str">
        <f t="shared" si="4"/>
        <v/>
      </c>
      <c r="O7" s="59" t="str">
        <f t="shared" si="5"/>
        <v/>
      </c>
      <c r="P7" s="60" t="str">
        <f t="shared" si="6"/>
        <v/>
      </c>
      <c r="Q7" s="245"/>
    </row>
    <row r="8" spans="1:17" x14ac:dyDescent="0.3">
      <c r="A8" s="185" t="s">
        <v>201</v>
      </c>
      <c r="B8" s="137" t="s">
        <v>74</v>
      </c>
      <c r="C8" s="228" t="s">
        <v>301</v>
      </c>
      <c r="D8" s="122">
        <v>2000</v>
      </c>
      <c r="E8" s="202">
        <f>'שאלון למילוי מגיש הבקשה - חובה'!$D$37</f>
        <v>0</v>
      </c>
      <c r="F8" s="126">
        <f t="shared" si="0"/>
        <v>0</v>
      </c>
      <c r="G8" s="113"/>
      <c r="H8" s="240"/>
      <c r="I8" s="59">
        <f t="shared" si="7"/>
        <v>0</v>
      </c>
      <c r="J8" s="60" t="str">
        <f t="shared" si="8"/>
        <v/>
      </c>
      <c r="K8" s="241" t="str">
        <f t="shared" si="9"/>
        <v/>
      </c>
      <c r="L8" s="113"/>
      <c r="M8" s="244"/>
      <c r="N8" s="173" t="str">
        <f t="shared" si="4"/>
        <v/>
      </c>
      <c r="O8" s="59" t="str">
        <f t="shared" si="5"/>
        <v/>
      </c>
      <c r="P8" s="60" t="str">
        <f t="shared" si="6"/>
        <v/>
      </c>
      <c r="Q8" s="245"/>
    </row>
    <row r="9" spans="1:17" x14ac:dyDescent="0.3">
      <c r="A9" s="185" t="s">
        <v>202</v>
      </c>
      <c r="B9" s="250" t="s">
        <v>292</v>
      </c>
      <c r="C9" s="228" t="s">
        <v>301</v>
      </c>
      <c r="D9" s="122">
        <v>6000</v>
      </c>
      <c r="E9" s="202">
        <f>'שאלון למילוי מגיש הבקשה - חובה'!$D$37</f>
        <v>0</v>
      </c>
      <c r="F9" s="126">
        <f t="shared" si="0"/>
        <v>0</v>
      </c>
      <c r="G9" s="113"/>
      <c r="H9" s="240"/>
      <c r="I9" s="59">
        <f t="shared" si="7"/>
        <v>0</v>
      </c>
      <c r="J9" s="60" t="str">
        <f t="shared" si="8"/>
        <v/>
      </c>
      <c r="K9" s="241" t="str">
        <f t="shared" si="9"/>
        <v/>
      </c>
      <c r="L9" s="113"/>
      <c r="M9" s="244"/>
      <c r="N9" s="173" t="str">
        <f t="shared" si="4"/>
        <v/>
      </c>
      <c r="O9" s="59" t="str">
        <f t="shared" si="5"/>
        <v/>
      </c>
      <c r="P9" s="60" t="str">
        <f t="shared" si="6"/>
        <v/>
      </c>
      <c r="Q9" s="245"/>
    </row>
    <row r="10" spans="1:17" x14ac:dyDescent="0.3">
      <c r="A10" s="185" t="s">
        <v>203</v>
      </c>
      <c r="B10" s="137" t="s">
        <v>302</v>
      </c>
      <c r="C10" s="228" t="s">
        <v>301</v>
      </c>
      <c r="D10" s="122">
        <v>2000</v>
      </c>
      <c r="E10" s="202">
        <f>'שאלון למילוי מגיש הבקשה - חובה'!$D$37</f>
        <v>0</v>
      </c>
      <c r="F10" s="126">
        <f t="shared" si="0"/>
        <v>0</v>
      </c>
      <c r="G10" s="113"/>
      <c r="H10" s="240"/>
      <c r="I10" s="59">
        <f t="shared" si="7"/>
        <v>0</v>
      </c>
      <c r="J10" s="60" t="str">
        <f t="shared" si="8"/>
        <v/>
      </c>
      <c r="K10" s="241" t="str">
        <f t="shared" si="9"/>
        <v/>
      </c>
      <c r="L10" s="113"/>
      <c r="M10" s="244"/>
      <c r="N10" s="173" t="str">
        <f t="shared" si="4"/>
        <v/>
      </c>
      <c r="O10" s="59" t="str">
        <f t="shared" si="5"/>
        <v/>
      </c>
      <c r="P10" s="60" t="str">
        <f t="shared" si="6"/>
        <v/>
      </c>
      <c r="Q10" s="245"/>
    </row>
    <row r="11" spans="1:17" x14ac:dyDescent="0.3">
      <c r="A11" s="185" t="s">
        <v>204</v>
      </c>
      <c r="B11" s="137" t="s">
        <v>86</v>
      </c>
      <c r="C11" s="228" t="s">
        <v>303</v>
      </c>
      <c r="D11" s="122">
        <v>500</v>
      </c>
      <c r="E11" s="202">
        <f>'שאלון למילוי מגיש הבקשה - חובה'!$D$37+'שאלון למילוי מגיש הבקשה - חובה'!$D$39+'שאלון למילוי מגיש הבקשה - חובה'!$D$41</f>
        <v>0</v>
      </c>
      <c r="F11" s="126">
        <f t="shared" si="0"/>
        <v>0</v>
      </c>
      <c r="G11" s="113"/>
      <c r="H11" s="240"/>
      <c r="I11" s="59">
        <f t="shared" si="7"/>
        <v>0</v>
      </c>
      <c r="J11" s="60" t="str">
        <f t="shared" si="8"/>
        <v/>
      </c>
      <c r="K11" s="241" t="str">
        <f t="shared" si="9"/>
        <v/>
      </c>
      <c r="L11" s="113"/>
      <c r="M11" s="244"/>
      <c r="N11" s="173" t="str">
        <f t="shared" si="4"/>
        <v/>
      </c>
      <c r="O11" s="59" t="str">
        <f t="shared" si="5"/>
        <v/>
      </c>
      <c r="P11" s="60" t="str">
        <f t="shared" si="6"/>
        <v/>
      </c>
      <c r="Q11" s="245"/>
    </row>
    <row r="12" spans="1:17" x14ac:dyDescent="0.3">
      <c r="A12" s="185" t="s">
        <v>282</v>
      </c>
      <c r="B12" s="183" t="s">
        <v>190</v>
      </c>
      <c r="C12" s="230"/>
      <c r="D12" s="153"/>
      <c r="E12" s="156"/>
      <c r="F12" s="127">
        <f>SUM(F6:F11)</f>
        <v>0</v>
      </c>
      <c r="G12" s="113"/>
      <c r="H12" s="174"/>
      <c r="I12" s="127">
        <f>SUM(I6:I11)</f>
        <v>0</v>
      </c>
      <c r="J12" s="65" t="str">
        <f t="shared" ref="J12" si="10">IFERROR(IF(I12=0,"",IF(OR(I12-$F12&gt;0,I12-$F12&lt;0), (I12-$F12)/$F12, "")),"")</f>
        <v/>
      </c>
      <c r="K12" s="46" t="str">
        <f>B12</f>
        <v xml:space="preserve">סך ציוד נגישות  למקלחונים וחדרי שירותים </v>
      </c>
      <c r="L12" s="166"/>
      <c r="M12" s="175"/>
      <c r="N12" s="68"/>
      <c r="O12" s="127">
        <f>SUM(O6:O11)</f>
        <v>0</v>
      </c>
      <c r="P12" s="65" t="str">
        <f t="shared" ref="P12" si="11">IFERROR(IF(O12=0,"",IF(OR(O12-$F12&gt;0,O12-$F12&lt;0), (O12-$F12)/$F12, "")),"")</f>
        <v/>
      </c>
      <c r="Q12" s="163" t="str">
        <f>B12</f>
        <v xml:space="preserve">סך ציוד נגישות  למקלחונים וחדרי שירותים </v>
      </c>
    </row>
    <row r="13" spans="1:17" x14ac:dyDescent="0.3">
      <c r="A13" s="194">
        <v>4.2</v>
      </c>
      <c r="B13" s="145" t="s">
        <v>161</v>
      </c>
      <c r="C13" s="227"/>
      <c r="D13" s="153"/>
      <c r="E13" s="157"/>
      <c r="F13" s="201"/>
      <c r="G13" s="166"/>
      <c r="H13" s="167"/>
      <c r="I13" s="168" t="str">
        <f>B13</f>
        <v xml:space="preserve">ציוד מקלחונים וחדרי שירותים </v>
      </c>
      <c r="J13" s="169"/>
      <c r="K13" s="53"/>
      <c r="L13" s="166"/>
      <c r="M13" s="170"/>
      <c r="N13" s="171" t="str">
        <f>I13</f>
        <v xml:space="preserve">ציוד מקלחונים וחדרי שירותים </v>
      </c>
      <c r="O13" s="172"/>
      <c r="P13" s="172"/>
      <c r="Q13" s="165"/>
    </row>
    <row r="14" spans="1:17" x14ac:dyDescent="0.3">
      <c r="A14" s="185" t="s">
        <v>205</v>
      </c>
      <c r="B14" s="137" t="s">
        <v>93</v>
      </c>
      <c r="C14" s="228"/>
      <c r="D14" s="122">
        <v>2000</v>
      </c>
      <c r="E14" s="122">
        <v>3</v>
      </c>
      <c r="F14" s="126">
        <f t="shared" ref="F14:F17" si="12">D14*E14</f>
        <v>6000</v>
      </c>
      <c r="G14" s="113"/>
      <c r="H14" s="240"/>
      <c r="I14" s="59">
        <f t="shared" ref="I14:I17" si="13">H14*D14</f>
        <v>0</v>
      </c>
      <c r="J14" s="60" t="str">
        <f t="shared" ref="J14:J17" si="14">IFERROR(IF(I14=0,"",IF(OR(I14-$F14&gt;0,I14-$F14&lt;0), (I14-$F14)/$F14, "")),"")</f>
        <v/>
      </c>
      <c r="K14" s="241" t="str">
        <f t="shared" ref="K14:K17" si="15">IF(H14&gt;E14,"יש להסביר חריגה","")</f>
        <v/>
      </c>
      <c r="L14" s="113"/>
      <c r="M14" s="244"/>
      <c r="N14" s="173" t="str">
        <f t="shared" ref="N14:N17" si="16">IF(ISBLANK(M14), "", IF(M14="מאשר", H14, "נא למלא כמות מאושרת"))</f>
        <v/>
      </c>
      <c r="O14" s="59" t="str">
        <f t="shared" ref="O14:O17" si="17">IFERROR(N14*D14,"")</f>
        <v/>
      </c>
      <c r="P14" s="60" t="str">
        <f t="shared" ref="P14:P17" si="18">IFERROR(IF(O14=0,"",IF(OR(O14-$F14&gt;0,O14-$F14&lt;0), (O14-$F14)/$F14, "")),"")</f>
        <v/>
      </c>
      <c r="Q14" s="245"/>
    </row>
    <row r="15" spans="1:17" x14ac:dyDescent="0.3">
      <c r="A15" s="185" t="s">
        <v>199</v>
      </c>
      <c r="B15" s="137" t="s">
        <v>94</v>
      </c>
      <c r="C15" s="228"/>
      <c r="D15" s="122">
        <v>2000</v>
      </c>
      <c r="E15" s="122">
        <v>3</v>
      </c>
      <c r="F15" s="126">
        <f t="shared" si="12"/>
        <v>6000</v>
      </c>
      <c r="G15" s="113"/>
      <c r="H15" s="240"/>
      <c r="I15" s="59">
        <f t="shared" si="13"/>
        <v>0</v>
      </c>
      <c r="J15" s="60" t="str">
        <f t="shared" si="14"/>
        <v/>
      </c>
      <c r="K15" s="241" t="str">
        <f t="shared" si="15"/>
        <v/>
      </c>
      <c r="L15" s="113"/>
      <c r="M15" s="244"/>
      <c r="N15" s="173" t="str">
        <f t="shared" si="16"/>
        <v/>
      </c>
      <c r="O15" s="59" t="str">
        <f t="shared" si="17"/>
        <v/>
      </c>
      <c r="P15" s="60" t="str">
        <f t="shared" si="18"/>
        <v/>
      </c>
      <c r="Q15" s="245"/>
    </row>
    <row r="16" spans="1:17" x14ac:dyDescent="0.3">
      <c r="A16" s="185" t="s">
        <v>206</v>
      </c>
      <c r="B16" s="137" t="s">
        <v>87</v>
      </c>
      <c r="C16" s="228" t="s">
        <v>245</v>
      </c>
      <c r="D16" s="122">
        <v>250</v>
      </c>
      <c r="E16" s="202">
        <f>'שאלון למילוי מגיש הבקשה - חובה'!$D$39+'שאלון למילוי מגיש הבקשה - חובה'!$D$41</f>
        <v>0</v>
      </c>
      <c r="F16" s="126">
        <f t="shared" si="12"/>
        <v>0</v>
      </c>
      <c r="G16" s="113"/>
      <c r="H16" s="240"/>
      <c r="I16" s="59">
        <f t="shared" si="13"/>
        <v>0</v>
      </c>
      <c r="J16" s="60" t="str">
        <f t="shared" si="14"/>
        <v/>
      </c>
      <c r="K16" s="241" t="str">
        <f t="shared" si="15"/>
        <v/>
      </c>
      <c r="L16" s="113"/>
      <c r="M16" s="244"/>
      <c r="N16" s="173" t="str">
        <f t="shared" si="16"/>
        <v/>
      </c>
      <c r="O16" s="59" t="str">
        <f t="shared" si="17"/>
        <v/>
      </c>
      <c r="P16" s="60" t="str">
        <f t="shared" si="18"/>
        <v/>
      </c>
      <c r="Q16" s="245"/>
    </row>
    <row r="17" spans="1:17 16383:16383" x14ac:dyDescent="0.3">
      <c r="A17" s="185" t="s">
        <v>207</v>
      </c>
      <c r="B17" s="137" t="s">
        <v>88</v>
      </c>
      <c r="C17" s="228" t="s">
        <v>245</v>
      </c>
      <c r="D17" s="122">
        <v>450</v>
      </c>
      <c r="E17" s="202">
        <f>'שאלון למילוי מגיש הבקשה - חובה'!$D$39+'שאלון למילוי מגיש הבקשה - חובה'!$D$41</f>
        <v>0</v>
      </c>
      <c r="F17" s="126">
        <f t="shared" si="12"/>
        <v>0</v>
      </c>
      <c r="G17" s="113"/>
      <c r="H17" s="240"/>
      <c r="I17" s="59">
        <f t="shared" si="13"/>
        <v>0</v>
      </c>
      <c r="J17" s="60" t="str">
        <f t="shared" si="14"/>
        <v/>
      </c>
      <c r="K17" s="241" t="str">
        <f t="shared" si="15"/>
        <v/>
      </c>
      <c r="L17" s="113"/>
      <c r="M17" s="244"/>
      <c r="N17" s="173" t="str">
        <f t="shared" si="16"/>
        <v/>
      </c>
      <c r="O17" s="59" t="str">
        <f t="shared" si="17"/>
        <v/>
      </c>
      <c r="P17" s="60" t="str">
        <f t="shared" si="18"/>
        <v/>
      </c>
      <c r="Q17" s="245"/>
    </row>
    <row r="18" spans="1:17 16383:16383" x14ac:dyDescent="0.3">
      <c r="A18" s="185" t="s">
        <v>208</v>
      </c>
      <c r="B18" s="137" t="s">
        <v>89</v>
      </c>
      <c r="C18" s="228" t="s">
        <v>245</v>
      </c>
      <c r="D18" s="122">
        <v>200</v>
      </c>
      <c r="E18" s="202">
        <f>'שאלון למילוי מגיש הבקשה - חובה'!$D$39+'שאלון למילוי מגיש הבקשה - חובה'!$D$41</f>
        <v>0</v>
      </c>
      <c r="F18" s="126">
        <f t="shared" si="0"/>
        <v>0</v>
      </c>
      <c r="G18" s="113"/>
      <c r="H18" s="240"/>
      <c r="I18" s="59">
        <f t="shared" si="7"/>
        <v>0</v>
      </c>
      <c r="J18" s="60" t="str">
        <f t="shared" si="8"/>
        <v/>
      </c>
      <c r="K18" s="241" t="str">
        <f t="shared" si="9"/>
        <v/>
      </c>
      <c r="L18" s="113"/>
      <c r="M18" s="244"/>
      <c r="N18" s="173" t="str">
        <f t="shared" ref="N18:N22" si="19">IF(ISBLANK(M18), "", IF(M18="מאשר", H18, "נא למלא כמות מאושרת"))</f>
        <v/>
      </c>
      <c r="O18" s="59" t="str">
        <f t="shared" ref="O18:O22" si="20">IFERROR(N18*D18,"")</f>
        <v/>
      </c>
      <c r="P18" s="60" t="str">
        <f t="shared" ref="P18:P22" si="21">IFERROR(IF(O18=0,"",IF(OR(O18-$F18&gt;0,O18-$F18&lt;0), (O18-$F18)/$F18, "")),"")</f>
        <v/>
      </c>
      <c r="Q18" s="245"/>
    </row>
    <row r="19" spans="1:17 16383:16383" x14ac:dyDescent="0.3">
      <c r="A19" s="185" t="s">
        <v>209</v>
      </c>
      <c r="B19" s="137" t="s">
        <v>90</v>
      </c>
      <c r="C19" s="228" t="s">
        <v>245</v>
      </c>
      <c r="D19" s="122">
        <v>300</v>
      </c>
      <c r="E19" s="202">
        <f>'שאלון למילוי מגיש הבקשה - חובה'!$D$39+'שאלון למילוי מגיש הבקשה - חובה'!$D$41</f>
        <v>0</v>
      </c>
      <c r="F19" s="126">
        <f t="shared" si="0"/>
        <v>0</v>
      </c>
      <c r="G19" s="113"/>
      <c r="H19" s="240"/>
      <c r="I19" s="59">
        <f t="shared" si="7"/>
        <v>0</v>
      </c>
      <c r="J19" s="60" t="str">
        <f t="shared" si="8"/>
        <v/>
      </c>
      <c r="K19" s="241" t="str">
        <f t="shared" si="9"/>
        <v/>
      </c>
      <c r="L19" s="113"/>
      <c r="M19" s="244"/>
      <c r="N19" s="173" t="str">
        <f t="shared" si="19"/>
        <v/>
      </c>
      <c r="O19" s="59" t="str">
        <f t="shared" si="20"/>
        <v/>
      </c>
      <c r="P19" s="60" t="str">
        <f t="shared" si="21"/>
        <v/>
      </c>
      <c r="Q19" s="245"/>
    </row>
    <row r="20" spans="1:17 16383:16383" x14ac:dyDescent="0.3">
      <c r="A20" s="185" t="s">
        <v>210</v>
      </c>
      <c r="B20" s="137" t="s">
        <v>91</v>
      </c>
      <c r="C20" s="228" t="s">
        <v>245</v>
      </c>
      <c r="D20" s="122">
        <v>300</v>
      </c>
      <c r="E20" s="202">
        <f>'שאלון למילוי מגיש הבקשה - חובה'!$D$39+'שאלון למילוי מגיש הבקשה - חובה'!$D$41</f>
        <v>0</v>
      </c>
      <c r="F20" s="126">
        <f t="shared" si="0"/>
        <v>0</v>
      </c>
      <c r="G20" s="113"/>
      <c r="H20" s="240"/>
      <c r="I20" s="59">
        <f t="shared" si="7"/>
        <v>0</v>
      </c>
      <c r="J20" s="60" t="str">
        <f t="shared" si="8"/>
        <v/>
      </c>
      <c r="K20" s="241" t="str">
        <f t="shared" si="9"/>
        <v/>
      </c>
      <c r="L20" s="113"/>
      <c r="M20" s="244"/>
      <c r="N20" s="173" t="str">
        <f t="shared" si="19"/>
        <v/>
      </c>
      <c r="O20" s="59" t="str">
        <f t="shared" si="20"/>
        <v/>
      </c>
      <c r="P20" s="60" t="str">
        <f t="shared" si="21"/>
        <v/>
      </c>
      <c r="Q20" s="245"/>
      <c r="XFC20" s="113"/>
    </row>
    <row r="21" spans="1:17 16383:16383" x14ac:dyDescent="0.3">
      <c r="A21" s="185" t="s">
        <v>211</v>
      </c>
      <c r="B21" s="137" t="s">
        <v>92</v>
      </c>
      <c r="C21" s="228" t="s">
        <v>245</v>
      </c>
      <c r="D21" s="122">
        <v>200</v>
      </c>
      <c r="E21" s="202">
        <f>'שאלון למילוי מגיש הבקשה - חובה'!$D$39+'שאלון למילוי מגיש הבקשה - חובה'!$D$41</f>
        <v>0</v>
      </c>
      <c r="F21" s="126">
        <f t="shared" si="0"/>
        <v>0</v>
      </c>
      <c r="G21" s="113"/>
      <c r="H21" s="240"/>
      <c r="I21" s="59">
        <f t="shared" si="7"/>
        <v>0</v>
      </c>
      <c r="J21" s="60" t="str">
        <f t="shared" si="8"/>
        <v/>
      </c>
      <c r="K21" s="241" t="str">
        <f t="shared" si="9"/>
        <v/>
      </c>
      <c r="L21" s="113"/>
      <c r="M21" s="244"/>
      <c r="N21" s="173" t="str">
        <f t="shared" si="19"/>
        <v/>
      </c>
      <c r="O21" s="59" t="str">
        <f t="shared" si="20"/>
        <v/>
      </c>
      <c r="P21" s="60" t="str">
        <f t="shared" si="21"/>
        <v/>
      </c>
      <c r="Q21" s="245"/>
      <c r="XFC21" s="113"/>
    </row>
    <row r="22" spans="1:17 16383:16383" ht="28" x14ac:dyDescent="0.3">
      <c r="A22" s="185" t="s">
        <v>212</v>
      </c>
      <c r="B22" s="250" t="s">
        <v>95</v>
      </c>
      <c r="C22" s="228" t="s">
        <v>289</v>
      </c>
      <c r="D22" s="122">
        <v>200</v>
      </c>
      <c r="E22" s="202">
        <f>ROUNDUP('שאלון למילוי מגיש הבקשה - חובה'!$D$33*1.2,0)</f>
        <v>0</v>
      </c>
      <c r="F22" s="126">
        <f t="shared" si="0"/>
        <v>0</v>
      </c>
      <c r="G22" s="113"/>
      <c r="H22" s="240"/>
      <c r="I22" s="59">
        <f t="shared" si="7"/>
        <v>0</v>
      </c>
      <c r="J22" s="60" t="str">
        <f t="shared" si="8"/>
        <v/>
      </c>
      <c r="K22" s="241" t="str">
        <f t="shared" si="9"/>
        <v/>
      </c>
      <c r="L22" s="113"/>
      <c r="M22" s="244"/>
      <c r="N22" s="173" t="str">
        <f t="shared" si="19"/>
        <v/>
      </c>
      <c r="O22" s="59" t="str">
        <f t="shared" si="20"/>
        <v/>
      </c>
      <c r="P22" s="60" t="str">
        <f t="shared" si="21"/>
        <v/>
      </c>
      <c r="Q22" s="245"/>
      <c r="XFC22" s="113"/>
    </row>
    <row r="23" spans="1:17 16383:16383" x14ac:dyDescent="0.3">
      <c r="A23" s="185" t="s">
        <v>283</v>
      </c>
      <c r="B23" s="183" t="s">
        <v>191</v>
      </c>
      <c r="C23" s="230"/>
      <c r="D23" s="153"/>
      <c r="E23" s="156"/>
      <c r="F23" s="127">
        <f>SUM(F14:F22)</f>
        <v>12000</v>
      </c>
      <c r="G23" s="113"/>
      <c r="H23" s="174"/>
      <c r="I23" s="127">
        <f>SUM(I14:I22)</f>
        <v>0</v>
      </c>
      <c r="J23" s="65" t="str">
        <f t="shared" ref="J23" si="22">IFERROR(IF(I23=0,"",IF(OR(I23-$F23&gt;0,I23-$F23&lt;0), (I23-$F23)/$F23, "")),"")</f>
        <v/>
      </c>
      <c r="K23" s="46" t="str">
        <f>B23</f>
        <v xml:space="preserve">סך ציוד מקלחונים </v>
      </c>
      <c r="L23" s="166"/>
      <c r="M23" s="175"/>
      <c r="N23" s="68"/>
      <c r="O23" s="127">
        <f>SUM(O14:O22)</f>
        <v>0</v>
      </c>
      <c r="P23" s="65" t="str">
        <f t="shared" ref="P23" si="23">IFERROR(IF(O23=0,"",IF(OR(O23-$F23&gt;0,O23-$F23&lt;0), (O23-$F23)/$F23, "")),"")</f>
        <v/>
      </c>
      <c r="Q23" s="163" t="str">
        <f>B23</f>
        <v xml:space="preserve">סך ציוד מקלחונים </v>
      </c>
    </row>
    <row r="24" spans="1:17 16383:16383" x14ac:dyDescent="0.3">
      <c r="A24" s="194">
        <v>4.3</v>
      </c>
      <c r="B24" s="140" t="s">
        <v>96</v>
      </c>
      <c r="C24" s="227"/>
      <c r="D24" s="153"/>
      <c r="E24" s="157"/>
      <c r="F24" s="154"/>
      <c r="G24" s="113"/>
      <c r="H24" s="177"/>
      <c r="I24" s="164" t="str">
        <f>B24</f>
        <v>מלתחות</v>
      </c>
      <c r="J24" s="178"/>
      <c r="K24" s="73" t="str">
        <f t="shared" ref="K24" si="24">B24</f>
        <v>מלתחות</v>
      </c>
      <c r="L24" s="166"/>
      <c r="M24" s="175"/>
      <c r="N24" s="164" t="str">
        <f>I24</f>
        <v>מלתחות</v>
      </c>
      <c r="O24" s="179"/>
      <c r="P24" s="179"/>
      <c r="Q24" s="180"/>
    </row>
    <row r="25" spans="1:17 16383:16383" ht="28" x14ac:dyDescent="0.3">
      <c r="A25" s="185" t="s">
        <v>213</v>
      </c>
      <c r="B25" s="250" t="s">
        <v>288</v>
      </c>
      <c r="C25" s="251" t="s">
        <v>289</v>
      </c>
      <c r="D25" s="122">
        <v>500</v>
      </c>
      <c r="E25" s="202">
        <f>ROUNDUP('שאלון למילוי מגיש הבקשה - חובה'!$D$33*1.2,0)</f>
        <v>0</v>
      </c>
      <c r="F25" s="126">
        <f t="shared" ref="F25:F29" si="25">E25*D25</f>
        <v>0</v>
      </c>
      <c r="G25" s="113"/>
      <c r="H25" s="240"/>
      <c r="I25" s="59">
        <f t="shared" ref="I25:I29" si="26">H25*D25</f>
        <v>0</v>
      </c>
      <c r="J25" s="60" t="str">
        <f t="shared" ref="J25:J31" si="27">IFERROR(IF(I25=0,"",IF(OR(I25-$F25&gt;0,I25-$F25&lt;0), (I25-$F25)/$F25, "")),"")</f>
        <v/>
      </c>
      <c r="K25" s="241" t="str">
        <f t="shared" ref="K25:K29" si="28">IF(H25&gt;E25,"יש להסביר חריגה","")</f>
        <v/>
      </c>
      <c r="L25" s="113"/>
      <c r="M25" s="244"/>
      <c r="N25" s="173" t="str">
        <f t="shared" ref="N25:N29" si="29">IF(ISBLANK(M25), "", IF(M25="מאשר", H25, "נא למלא כמות מאושרת"))</f>
        <v/>
      </c>
      <c r="O25" s="59" t="str">
        <f t="shared" ref="O25:O29" si="30">IFERROR(N25*D25,"")</f>
        <v/>
      </c>
      <c r="P25" s="60" t="str">
        <f t="shared" ref="P25:P31" si="31">IFERROR(IF(O25=0,"",IF(OR(O25-$F25&gt;0,O25-$F25&lt;0), (O25-$F25)/$F25, "")),"")</f>
        <v/>
      </c>
      <c r="Q25" s="245"/>
    </row>
    <row r="26" spans="1:17 16383:16383" x14ac:dyDescent="0.3">
      <c r="A26" s="185" t="s">
        <v>214</v>
      </c>
      <c r="B26" s="137" t="s">
        <v>74</v>
      </c>
      <c r="C26" s="229"/>
      <c r="D26" s="122">
        <v>1300</v>
      </c>
      <c r="E26" s="122">
        <v>1</v>
      </c>
      <c r="F26" s="126">
        <f t="shared" si="25"/>
        <v>1300</v>
      </c>
      <c r="G26" s="113"/>
      <c r="H26" s="240"/>
      <c r="I26" s="59">
        <f t="shared" si="26"/>
        <v>0</v>
      </c>
      <c r="J26" s="60" t="str">
        <f t="shared" si="27"/>
        <v/>
      </c>
      <c r="K26" s="241" t="str">
        <f t="shared" si="28"/>
        <v/>
      </c>
      <c r="L26" s="113"/>
      <c r="M26" s="244"/>
      <c r="N26" s="173" t="str">
        <f t="shared" si="29"/>
        <v/>
      </c>
      <c r="O26" s="59" t="str">
        <f t="shared" si="30"/>
        <v/>
      </c>
      <c r="P26" s="60" t="str">
        <f t="shared" si="31"/>
        <v/>
      </c>
      <c r="Q26" s="245"/>
    </row>
    <row r="27" spans="1:17 16383:16383" x14ac:dyDescent="0.3">
      <c r="A27" s="185" t="s">
        <v>215</v>
      </c>
      <c r="B27" s="137" t="s">
        <v>97</v>
      </c>
      <c r="C27" s="228"/>
      <c r="D27" s="122">
        <v>8000</v>
      </c>
      <c r="E27" s="122">
        <v>3</v>
      </c>
      <c r="F27" s="126">
        <f t="shared" si="25"/>
        <v>24000</v>
      </c>
      <c r="G27" s="113"/>
      <c r="H27" s="240"/>
      <c r="I27" s="59">
        <f t="shared" si="26"/>
        <v>0</v>
      </c>
      <c r="J27" s="60" t="str">
        <f t="shared" si="27"/>
        <v/>
      </c>
      <c r="K27" s="241" t="str">
        <f t="shared" si="28"/>
        <v/>
      </c>
      <c r="L27" s="113"/>
      <c r="M27" s="244"/>
      <c r="N27" s="173" t="str">
        <f t="shared" si="29"/>
        <v/>
      </c>
      <c r="O27" s="59" t="str">
        <f t="shared" si="30"/>
        <v/>
      </c>
      <c r="P27" s="60" t="str">
        <f t="shared" si="31"/>
        <v/>
      </c>
      <c r="Q27" s="245"/>
    </row>
    <row r="28" spans="1:17 16383:16383" x14ac:dyDescent="0.3">
      <c r="A28" s="185" t="s">
        <v>216</v>
      </c>
      <c r="B28" s="137" t="s">
        <v>98</v>
      </c>
      <c r="C28" s="228"/>
      <c r="D28" s="122">
        <v>700</v>
      </c>
      <c r="E28" s="122">
        <v>2</v>
      </c>
      <c r="F28" s="126">
        <f t="shared" si="25"/>
        <v>1400</v>
      </c>
      <c r="G28" s="113"/>
      <c r="H28" s="240"/>
      <c r="I28" s="59">
        <f t="shared" si="26"/>
        <v>0</v>
      </c>
      <c r="J28" s="60" t="str">
        <f t="shared" si="27"/>
        <v/>
      </c>
      <c r="K28" s="241" t="str">
        <f t="shared" si="28"/>
        <v/>
      </c>
      <c r="L28" s="113"/>
      <c r="M28" s="244"/>
      <c r="N28" s="173" t="str">
        <f t="shared" si="29"/>
        <v/>
      </c>
      <c r="O28" s="59" t="str">
        <f t="shared" si="30"/>
        <v/>
      </c>
      <c r="P28" s="60" t="str">
        <f t="shared" si="31"/>
        <v/>
      </c>
      <c r="Q28" s="245"/>
    </row>
    <row r="29" spans="1:17 16383:16383" x14ac:dyDescent="0.3">
      <c r="A29" s="185" t="s">
        <v>217</v>
      </c>
      <c r="B29" s="137" t="s">
        <v>99</v>
      </c>
      <c r="C29" s="228"/>
      <c r="D29" s="122">
        <v>400</v>
      </c>
      <c r="E29" s="122">
        <v>2</v>
      </c>
      <c r="F29" s="126">
        <f t="shared" si="25"/>
        <v>800</v>
      </c>
      <c r="G29" s="113"/>
      <c r="H29" s="240"/>
      <c r="I29" s="59">
        <f t="shared" si="26"/>
        <v>0</v>
      </c>
      <c r="J29" s="60" t="str">
        <f t="shared" si="27"/>
        <v/>
      </c>
      <c r="K29" s="241" t="str">
        <f t="shared" si="28"/>
        <v/>
      </c>
      <c r="L29" s="113"/>
      <c r="M29" s="244"/>
      <c r="N29" s="173" t="str">
        <f t="shared" si="29"/>
        <v/>
      </c>
      <c r="O29" s="59" t="str">
        <f t="shared" si="30"/>
        <v/>
      </c>
      <c r="P29" s="60" t="str">
        <f t="shared" si="31"/>
        <v/>
      </c>
      <c r="Q29" s="245"/>
    </row>
    <row r="30" spans="1:17 16383:16383" x14ac:dyDescent="0.3">
      <c r="A30" s="185" t="s">
        <v>284</v>
      </c>
      <c r="B30" s="183" t="s">
        <v>192</v>
      </c>
      <c r="C30" s="227"/>
      <c r="D30" s="153"/>
      <c r="E30" s="156"/>
      <c r="F30" s="127">
        <f>SUM(F25:F29)</f>
        <v>27500</v>
      </c>
      <c r="G30" s="166"/>
      <c r="H30" s="174"/>
      <c r="I30" s="127">
        <f>SUM(I25:I29)</f>
        <v>0</v>
      </c>
      <c r="J30" s="65" t="str">
        <f t="shared" si="27"/>
        <v/>
      </c>
      <c r="K30" s="46" t="str">
        <f>B30</f>
        <v xml:space="preserve">סך ציוד מלתחות </v>
      </c>
      <c r="L30" s="166"/>
      <c r="M30" s="175"/>
      <c r="N30" s="68"/>
      <c r="O30" s="127">
        <f>SUM(O25:O29)</f>
        <v>0</v>
      </c>
      <c r="P30" s="65" t="str">
        <f t="shared" si="31"/>
        <v/>
      </c>
      <c r="Q30" s="163" t="str">
        <f>B30</f>
        <v xml:space="preserve">סך ציוד מלתחות </v>
      </c>
    </row>
    <row r="31" spans="1:17 16383:16383" x14ac:dyDescent="0.3">
      <c r="A31" s="222" t="s">
        <v>144</v>
      </c>
      <c r="B31" s="145" t="str">
        <f>B2</f>
        <v>ציוד מקלחונים וחדרי שירותים</v>
      </c>
      <c r="C31" s="227"/>
      <c r="D31" s="158"/>
      <c r="E31" s="135"/>
      <c r="F31" s="127">
        <f>F12+F23+F30</f>
        <v>39500</v>
      </c>
      <c r="G31" s="113"/>
      <c r="H31" s="174"/>
      <c r="I31" s="64">
        <f>I12+I23+I30</f>
        <v>0</v>
      </c>
      <c r="J31" s="65" t="str">
        <f t="shared" si="27"/>
        <v/>
      </c>
      <c r="K31" s="46" t="str">
        <f>B31</f>
        <v>ציוד מקלחונים וחדרי שירותים</v>
      </c>
      <c r="L31" s="113"/>
      <c r="M31" s="175"/>
      <c r="N31" s="68"/>
      <c r="O31" s="64">
        <f>O12+O23+O30</f>
        <v>0</v>
      </c>
      <c r="P31" s="65" t="str">
        <f t="shared" si="31"/>
        <v/>
      </c>
      <c r="Q31" s="163" t="str">
        <f>B31</f>
        <v>ציוד מקלחונים וחדרי שירותים</v>
      </c>
    </row>
  </sheetData>
  <sheetProtection algorithmName="SHA-512" hashValue="V2d0fkvuSS+Zv4D2M3ZOOdWjuh8bGozLceY5ufZ5QA/qlRT4KMje4hyXWKNphkkCZIONafOGnSsHBNnQ0yL8vQ==" saltValue="1Uzekr39L59IyzkgSVj3mw==" spinCount="100000" sheet="1" formatCells="0" formatColumns="0" formatRows="0"/>
  <conditionalFormatting sqref="J6:J11 P6:P11 J14:J23 P14:P23 J25:J31 P25:P31">
    <cfRule type="cellIs" dxfId="6" priority="5" operator="greaterThan">
      <formula>0</formula>
    </cfRule>
  </conditionalFormatting>
  <conditionalFormatting sqref="J12 P12">
    <cfRule type="cellIs" dxfId="5" priority="4" operator="greaterThan">
      <formula>0</formula>
    </cfRule>
  </conditionalFormatting>
  <dataValidations count="1">
    <dataValidation type="list" allowBlank="1" showErrorMessage="1" sqref="M14:M22 M25:M29 M6:M11">
      <formula1>"מאשר,מאשר חלקי"</formula1>
    </dataValidation>
  </dataValidation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"/>
  <sheetViews>
    <sheetView rightToLeft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2.58203125" defaultRowHeight="15" customHeight="1" x14ac:dyDescent="0.3"/>
  <cols>
    <col min="1" max="1" width="6.08203125" style="190" customWidth="1"/>
    <col min="2" max="2" width="30" style="132" customWidth="1"/>
    <col min="3" max="3" width="11" style="132" customWidth="1"/>
    <col min="4" max="4" width="8.5" style="132" customWidth="1"/>
    <col min="5" max="5" width="6.33203125" style="132" customWidth="1"/>
    <col min="6" max="6" width="10.33203125" style="132" customWidth="1"/>
    <col min="7" max="7" width="1.25" style="132" customWidth="1"/>
    <col min="8" max="8" width="9" style="132" customWidth="1"/>
    <col min="9" max="9" width="11.08203125" style="132" customWidth="1"/>
    <col min="10" max="10" width="9" style="132" customWidth="1"/>
    <col min="11" max="11" width="13.75" style="190" customWidth="1"/>
    <col min="12" max="12" width="1.25" style="132" customWidth="1"/>
    <col min="13" max="13" width="7.83203125" style="132" customWidth="1"/>
    <col min="14" max="14" width="10.58203125" style="132" customWidth="1"/>
    <col min="15" max="15" width="10.33203125" style="132" customWidth="1"/>
    <col min="16" max="16" width="10.08203125" style="132" customWidth="1"/>
    <col min="17" max="17" width="15.5" style="132" customWidth="1"/>
    <col min="18" max="16383" width="9" style="132" customWidth="1"/>
    <col min="16384" max="16384" width="12.58203125" style="132"/>
  </cols>
  <sheetData>
    <row r="1" spans="1:17 16383:16383" ht="14" x14ac:dyDescent="0.3">
      <c r="A1" s="49" t="str">
        <f>פתיח!$D$11</f>
        <v xml:space="preserve">תקן הצטיידות לבריכות טיפוליות </v>
      </c>
      <c r="B1" s="130"/>
      <c r="C1" s="130"/>
      <c r="D1" s="130"/>
      <c r="E1" s="130"/>
      <c r="F1" s="131"/>
      <c r="G1" s="130"/>
      <c r="H1" s="130"/>
      <c r="I1" s="130"/>
      <c r="J1" s="130"/>
      <c r="K1" s="189"/>
      <c r="L1" s="130"/>
      <c r="M1" s="130"/>
      <c r="N1" s="130"/>
      <c r="O1" s="130"/>
      <c r="P1" s="130"/>
      <c r="Q1" s="130"/>
    </row>
    <row r="2" spans="1:17 16383:16383" ht="14" x14ac:dyDescent="0.3">
      <c r="A2" s="220">
        <f>'תוכן עניינים'!B19</f>
        <v>5</v>
      </c>
      <c r="B2" s="133" t="str">
        <f>'תוכן עניינים'!C19</f>
        <v>ציוד כללי</v>
      </c>
      <c r="C2" s="130"/>
      <c r="D2" s="130"/>
      <c r="E2" s="130"/>
      <c r="F2" s="131"/>
      <c r="G2" s="130"/>
      <c r="H2" s="123" t="s">
        <v>43</v>
      </c>
      <c r="I2" s="124"/>
      <c r="J2" s="124"/>
      <c r="K2" s="191"/>
      <c r="L2" s="130"/>
      <c r="M2" s="130"/>
      <c r="N2" s="130"/>
      <c r="O2" s="130"/>
      <c r="P2" s="130"/>
      <c r="Q2" s="130"/>
    </row>
    <row r="3" spans="1:17 16383:16383" ht="14" x14ac:dyDescent="0.3">
      <c r="A3" s="221"/>
      <c r="B3" s="135" t="s">
        <v>44</v>
      </c>
      <c r="C3" s="135"/>
      <c r="D3" s="135"/>
      <c r="E3" s="135"/>
      <c r="F3" s="136"/>
      <c r="G3" s="130"/>
      <c r="H3" s="134"/>
      <c r="I3" s="135" t="s">
        <v>45</v>
      </c>
      <c r="J3" s="135"/>
      <c r="K3" s="192"/>
      <c r="L3" s="130"/>
      <c r="M3" s="134"/>
      <c r="N3" s="135" t="s">
        <v>46</v>
      </c>
      <c r="O3" s="135"/>
      <c r="P3" s="135"/>
      <c r="Q3" s="136"/>
    </row>
    <row r="4" spans="1:17 16383:16383" ht="42" x14ac:dyDescent="0.3">
      <c r="A4" s="193" t="s">
        <v>47</v>
      </c>
      <c r="B4" s="125" t="s">
        <v>48</v>
      </c>
      <c r="C4" s="125" t="s">
        <v>49</v>
      </c>
      <c r="D4" s="125" t="s">
        <v>50</v>
      </c>
      <c r="E4" s="125" t="s">
        <v>51</v>
      </c>
      <c r="F4" s="125" t="s">
        <v>52</v>
      </c>
      <c r="G4" s="130"/>
      <c r="H4" s="137" t="s">
        <v>53</v>
      </c>
      <c r="I4" s="137" t="s">
        <v>54</v>
      </c>
      <c r="J4" s="138" t="s">
        <v>55</v>
      </c>
      <c r="K4" s="193" t="s">
        <v>56</v>
      </c>
      <c r="L4" s="130"/>
      <c r="M4" s="137" t="s">
        <v>57</v>
      </c>
      <c r="N4" s="137" t="s">
        <v>58</v>
      </c>
      <c r="O4" s="137" t="s">
        <v>54</v>
      </c>
      <c r="P4" s="125" t="s">
        <v>55</v>
      </c>
      <c r="Q4" s="125" t="s">
        <v>59</v>
      </c>
    </row>
    <row r="5" spans="1:17 16383:16383" ht="14" x14ac:dyDescent="0.3">
      <c r="A5" s="194">
        <v>5.0999999999999996</v>
      </c>
      <c r="B5" s="182" t="s">
        <v>158</v>
      </c>
      <c r="C5" s="140"/>
      <c r="D5" s="141"/>
      <c r="E5" s="142"/>
      <c r="F5" s="143"/>
      <c r="G5" s="130"/>
      <c r="H5" s="144"/>
      <c r="I5" s="145" t="str">
        <f>B5</f>
        <v>ציוד אלקטרוני: מצלמות בטיחות, ציוד מולטימדיה </v>
      </c>
      <c r="J5" s="146"/>
      <c r="K5" s="195"/>
      <c r="L5" s="147"/>
      <c r="M5" s="148"/>
      <c r="N5" s="145" t="str">
        <f>I5</f>
        <v>ציוד אלקטרוני: מצלמות בטיחות, ציוד מולטימדיה </v>
      </c>
      <c r="O5" s="149"/>
      <c r="P5" s="149"/>
      <c r="Q5" s="150"/>
      <c r="XFC5" s="130"/>
    </row>
    <row r="6" spans="1:17 16383:16383" ht="15.75" customHeight="1" x14ac:dyDescent="0.3">
      <c r="A6" s="185" t="s">
        <v>219</v>
      </c>
      <c r="B6" s="137" t="s">
        <v>68</v>
      </c>
      <c r="C6" s="151"/>
      <c r="D6" s="122">
        <v>25000</v>
      </c>
      <c r="E6" s="122">
        <v>1</v>
      </c>
      <c r="F6" s="126">
        <f t="shared" ref="F6:F9" si="0">D6*E6</f>
        <v>25000</v>
      </c>
      <c r="G6" s="130"/>
      <c r="H6" s="240"/>
      <c r="I6" s="59">
        <f t="shared" ref="I6" si="1">H6*D6</f>
        <v>0</v>
      </c>
      <c r="J6" s="60" t="str">
        <f t="shared" ref="J6" si="2">IFERROR(IF(I6=0,"",IF(OR(I6-$F6&gt;0,I6-$F6&lt;0), (I6-$F6)/$F6, "")),"")</f>
        <v/>
      </c>
      <c r="K6" s="241" t="str">
        <f t="shared" ref="K6" si="3">IF(H6&gt;E6,"יש להסביר חריגה","")</f>
        <v/>
      </c>
      <c r="L6" s="113"/>
      <c r="M6" s="244"/>
      <c r="N6" s="173" t="str">
        <f t="shared" ref="N6" si="4">IF(ISBLANK(M6), "", IF(M6="מאשר", H6, "נא למלא כמות מאושרת"))</f>
        <v/>
      </c>
      <c r="O6" s="59" t="str">
        <f t="shared" ref="O6" si="5">IFERROR(N6*D6,"")</f>
        <v/>
      </c>
      <c r="P6" s="60" t="str">
        <f t="shared" ref="P6" si="6">IFERROR(IF(O6=0,"",IF(OR(O6-$F6&gt;0,O6-$F6&lt;0), (O6-$F6)/$F6, "")),"")</f>
        <v/>
      </c>
      <c r="Q6" s="245"/>
      <c r="XFC6" s="130"/>
    </row>
    <row r="7" spans="1:17 16383:16383" ht="15.75" customHeight="1" x14ac:dyDescent="0.3">
      <c r="A7" s="185" t="s">
        <v>222</v>
      </c>
      <c r="B7" s="137" t="s">
        <v>105</v>
      </c>
      <c r="C7" s="122"/>
      <c r="D7" s="122">
        <v>10000</v>
      </c>
      <c r="E7" s="122">
        <v>1</v>
      </c>
      <c r="F7" s="126">
        <f t="shared" si="0"/>
        <v>10000</v>
      </c>
      <c r="G7" s="130"/>
      <c r="H7" s="240"/>
      <c r="I7" s="59">
        <f t="shared" ref="I7:I9" si="7">H7*D7</f>
        <v>0</v>
      </c>
      <c r="J7" s="60" t="str">
        <f t="shared" ref="J7:J9" si="8">IFERROR(IF(I7=0,"",IF(OR(I7-$F7&gt;0,I7-$F7&lt;0), (I7-$F7)/$F7, "")),"")</f>
        <v/>
      </c>
      <c r="K7" s="241" t="str">
        <f t="shared" ref="K7:K9" si="9">IF(H7&gt;E7,"יש להסביר חריגה","")</f>
        <v/>
      </c>
      <c r="L7" s="113"/>
      <c r="M7" s="244"/>
      <c r="N7" s="173" t="str">
        <f t="shared" ref="N7:N9" si="10">IF(ISBLANK(M7), "", IF(M7="מאשר", H7, "נא למלא כמות מאושרת"))</f>
        <v/>
      </c>
      <c r="O7" s="59" t="str">
        <f t="shared" ref="O7:O9" si="11">IFERROR(N7*D7,"")</f>
        <v/>
      </c>
      <c r="P7" s="60" t="str">
        <f t="shared" ref="P7:P9" si="12">IFERROR(IF(O7=0,"",IF(OR(O7-$F7&gt;0,O7-$F7&lt;0), (O7-$F7)/$F7, "")),"")</f>
        <v/>
      </c>
      <c r="Q7" s="245"/>
      <c r="XFC7" s="130"/>
    </row>
    <row r="8" spans="1:17 16383:16383" ht="15.75" customHeight="1" x14ac:dyDescent="0.3">
      <c r="A8" s="185" t="s">
        <v>223</v>
      </c>
      <c r="B8" s="137" t="s">
        <v>106</v>
      </c>
      <c r="C8" s="155"/>
      <c r="D8" s="122">
        <v>4000</v>
      </c>
      <c r="E8" s="122">
        <v>1</v>
      </c>
      <c r="F8" s="126">
        <f t="shared" si="0"/>
        <v>4000</v>
      </c>
      <c r="G8" s="130"/>
      <c r="H8" s="240"/>
      <c r="I8" s="59">
        <f t="shared" si="7"/>
        <v>0</v>
      </c>
      <c r="J8" s="60" t="str">
        <f t="shared" si="8"/>
        <v/>
      </c>
      <c r="K8" s="241" t="str">
        <f t="shared" si="9"/>
        <v/>
      </c>
      <c r="L8" s="113"/>
      <c r="M8" s="244"/>
      <c r="N8" s="173" t="str">
        <f t="shared" si="10"/>
        <v/>
      </c>
      <c r="O8" s="59" t="str">
        <f t="shared" si="11"/>
        <v/>
      </c>
      <c r="P8" s="60" t="str">
        <f t="shared" si="12"/>
        <v/>
      </c>
      <c r="Q8" s="245"/>
      <c r="XFC8" s="130"/>
    </row>
    <row r="9" spans="1:17 16383:16383" ht="15.75" customHeight="1" x14ac:dyDescent="0.3">
      <c r="A9" s="185" t="s">
        <v>224</v>
      </c>
      <c r="B9" s="137" t="s">
        <v>107</v>
      </c>
      <c r="C9" s="155"/>
      <c r="D9" s="122">
        <v>5000</v>
      </c>
      <c r="E9" s="122">
        <v>1</v>
      </c>
      <c r="F9" s="126">
        <f t="shared" si="0"/>
        <v>5000</v>
      </c>
      <c r="G9" s="130"/>
      <c r="H9" s="240"/>
      <c r="I9" s="59">
        <f t="shared" si="7"/>
        <v>0</v>
      </c>
      <c r="J9" s="60" t="str">
        <f t="shared" si="8"/>
        <v/>
      </c>
      <c r="K9" s="241" t="str">
        <f t="shared" si="9"/>
        <v/>
      </c>
      <c r="L9" s="113"/>
      <c r="M9" s="244"/>
      <c r="N9" s="173" t="str">
        <f t="shared" si="10"/>
        <v/>
      </c>
      <c r="O9" s="59" t="str">
        <f t="shared" si="11"/>
        <v/>
      </c>
      <c r="P9" s="60" t="str">
        <f t="shared" si="12"/>
        <v/>
      </c>
      <c r="Q9" s="245"/>
      <c r="XFC9" s="130"/>
    </row>
    <row r="10" spans="1:17 16383:16383" ht="15.75" customHeight="1" x14ac:dyDescent="0.3">
      <c r="A10" s="185" t="s">
        <v>275</v>
      </c>
      <c r="B10" s="183" t="s">
        <v>218</v>
      </c>
      <c r="C10" s="145"/>
      <c r="D10" s="153"/>
      <c r="E10" s="156"/>
      <c r="F10" s="127">
        <f>SUM(F6:F9)</f>
        <v>44000</v>
      </c>
      <c r="G10" s="147"/>
      <c r="H10" s="152"/>
      <c r="I10" s="127">
        <f>SUM(I6:I9)</f>
        <v>0</v>
      </c>
      <c r="J10" s="128" t="str">
        <f t="shared" ref="J10" si="13">IFERROR(IF(I10=0,"",IF(OR(I10-$F10&gt;0,I10-$F10&lt;0), (I10-$F10)/$F10, "")),"")</f>
        <v/>
      </c>
      <c r="K10" s="194" t="str">
        <f>B10</f>
        <v xml:space="preserve">סך ציוד אלקטרוני </v>
      </c>
      <c r="L10" s="147"/>
      <c r="M10" s="148"/>
      <c r="N10" s="129"/>
      <c r="O10" s="127">
        <f>SUM(O6:O9)</f>
        <v>0</v>
      </c>
      <c r="P10" s="128" t="str">
        <f t="shared" ref="P10" si="14">IFERROR(IF(O10=0,"",IF(OR(O10-$F10&gt;0,O10-$F10&lt;0), (O10-$F10)/$F10, "")),"")</f>
        <v/>
      </c>
      <c r="Q10" s="139" t="str">
        <f>B10</f>
        <v xml:space="preserve">סך ציוד אלקטרוני </v>
      </c>
    </row>
    <row r="11" spans="1:17 16383:16383" ht="15.75" customHeight="1" x14ac:dyDescent="0.3">
      <c r="A11" s="194">
        <v>5.2</v>
      </c>
      <c r="B11" s="145" t="s">
        <v>108</v>
      </c>
      <c r="C11" s="145"/>
      <c r="D11" s="153"/>
      <c r="E11" s="157"/>
      <c r="F11" s="154"/>
      <c r="G11" s="130"/>
      <c r="H11" s="144"/>
      <c r="I11" s="145" t="str">
        <f>B11</f>
        <v>ציוד עזרה ראשונה</v>
      </c>
      <c r="J11" s="146"/>
      <c r="K11" s="195"/>
      <c r="L11" s="147"/>
      <c r="M11" s="148"/>
      <c r="N11" s="145" t="str">
        <f>I11</f>
        <v>ציוד עזרה ראשונה</v>
      </c>
      <c r="O11" s="149"/>
      <c r="P11" s="149"/>
      <c r="Q11" s="150"/>
    </row>
    <row r="12" spans="1:17 16383:16383" ht="15.75" customHeight="1" x14ac:dyDescent="0.3">
      <c r="A12" s="185" t="s">
        <v>240</v>
      </c>
      <c r="B12" s="137" t="s">
        <v>109</v>
      </c>
      <c r="C12" s="122"/>
      <c r="D12" s="122">
        <v>1000</v>
      </c>
      <c r="E12" s="122">
        <v>1</v>
      </c>
      <c r="F12" s="126">
        <f t="shared" ref="F12:F14" si="15">E12*D12</f>
        <v>1000</v>
      </c>
      <c r="G12" s="130"/>
      <c r="H12" s="240"/>
      <c r="I12" s="59">
        <f t="shared" ref="I12:I14" si="16">H12*D12</f>
        <v>0</v>
      </c>
      <c r="J12" s="60" t="str">
        <f t="shared" ref="J12:J15" si="17">IFERROR(IF(I12=0,"",IF(OR(I12-$F12&gt;0,I12-$F12&lt;0), (I12-$F12)/$F12, "")),"")</f>
        <v/>
      </c>
      <c r="K12" s="241" t="str">
        <f t="shared" ref="K12:K14" si="18">IF(H12&gt;E12,"יש להסביר חריגה","")</f>
        <v/>
      </c>
      <c r="L12" s="113"/>
      <c r="M12" s="244"/>
      <c r="N12" s="173" t="str">
        <f t="shared" ref="N12:N14" si="19">IF(ISBLANK(M12), "", IF(M12="מאשר", H12, "נא למלא כמות מאושרת"))</f>
        <v/>
      </c>
      <c r="O12" s="59" t="str">
        <f t="shared" ref="O12:O14" si="20">IFERROR(N12*D12,"")</f>
        <v/>
      </c>
      <c r="P12" s="60" t="str">
        <f t="shared" ref="P12:P15" si="21">IFERROR(IF(O12=0,"",IF(OR(O12-$F12&gt;0,O12-$F12&lt;0), (O12-$F12)/$F12, "")),"")</f>
        <v/>
      </c>
      <c r="Q12" s="245"/>
    </row>
    <row r="13" spans="1:17 16383:16383" ht="15.75" customHeight="1" x14ac:dyDescent="0.3">
      <c r="A13" s="185" t="s">
        <v>220</v>
      </c>
      <c r="B13" s="137" t="s">
        <v>274</v>
      </c>
      <c r="C13" s="122"/>
      <c r="D13" s="122">
        <v>7000</v>
      </c>
      <c r="E13" s="122">
        <v>1</v>
      </c>
      <c r="F13" s="126">
        <f t="shared" si="15"/>
        <v>7000</v>
      </c>
      <c r="G13" s="130"/>
      <c r="H13" s="240"/>
      <c r="I13" s="59">
        <f t="shared" si="16"/>
        <v>0</v>
      </c>
      <c r="J13" s="60" t="str">
        <f t="shared" si="17"/>
        <v/>
      </c>
      <c r="K13" s="241" t="str">
        <f t="shared" si="18"/>
        <v/>
      </c>
      <c r="L13" s="113"/>
      <c r="M13" s="244"/>
      <c r="N13" s="173" t="str">
        <f t="shared" si="19"/>
        <v/>
      </c>
      <c r="O13" s="59" t="str">
        <f t="shared" si="20"/>
        <v/>
      </c>
      <c r="P13" s="60" t="str">
        <f t="shared" si="21"/>
        <v/>
      </c>
      <c r="Q13" s="245"/>
    </row>
    <row r="14" spans="1:17 16383:16383" ht="15.75" customHeight="1" x14ac:dyDescent="0.3">
      <c r="A14" s="185" t="s">
        <v>241</v>
      </c>
      <c r="B14" s="137" t="s">
        <v>110</v>
      </c>
      <c r="C14" s="122"/>
      <c r="D14" s="122">
        <v>1000</v>
      </c>
      <c r="E14" s="122">
        <v>1</v>
      </c>
      <c r="F14" s="126">
        <f t="shared" si="15"/>
        <v>1000</v>
      </c>
      <c r="G14" s="130"/>
      <c r="H14" s="240"/>
      <c r="I14" s="59">
        <f t="shared" si="16"/>
        <v>0</v>
      </c>
      <c r="J14" s="60" t="str">
        <f t="shared" si="17"/>
        <v/>
      </c>
      <c r="K14" s="241" t="str">
        <f t="shared" si="18"/>
        <v/>
      </c>
      <c r="L14" s="113"/>
      <c r="M14" s="244"/>
      <c r="N14" s="173" t="str">
        <f t="shared" si="19"/>
        <v/>
      </c>
      <c r="O14" s="59" t="str">
        <f t="shared" si="20"/>
        <v/>
      </c>
      <c r="P14" s="60" t="str">
        <f t="shared" si="21"/>
        <v/>
      </c>
      <c r="Q14" s="245"/>
    </row>
    <row r="15" spans="1:17 16383:16383" ht="15.75" customHeight="1" x14ac:dyDescent="0.3">
      <c r="A15" s="185" t="s">
        <v>276</v>
      </c>
      <c r="B15" s="183" t="s">
        <v>193</v>
      </c>
      <c r="C15" s="145"/>
      <c r="D15" s="153"/>
      <c r="E15" s="156"/>
      <c r="F15" s="127">
        <f>SUM(F12:F14)</f>
        <v>9000</v>
      </c>
      <c r="G15" s="147"/>
      <c r="H15" s="152"/>
      <c r="I15" s="127">
        <f>SUM(I12:I14)</f>
        <v>0</v>
      </c>
      <c r="J15" s="128" t="str">
        <f t="shared" si="17"/>
        <v/>
      </c>
      <c r="K15" s="194" t="str">
        <f>B15</f>
        <v xml:space="preserve">סך ציוד עזרה ראשונה </v>
      </c>
      <c r="L15" s="147"/>
      <c r="M15" s="148"/>
      <c r="N15" s="129"/>
      <c r="O15" s="127">
        <f>SUM(O12:O14)</f>
        <v>0</v>
      </c>
      <c r="P15" s="128" t="str">
        <f t="shared" si="21"/>
        <v/>
      </c>
      <c r="Q15" s="139" t="str">
        <f>B15</f>
        <v xml:space="preserve">סך ציוד עזרה ראשונה </v>
      </c>
    </row>
    <row r="16" spans="1:17 16383:16383" s="120" customFormat="1" ht="15.75" customHeight="1" x14ac:dyDescent="0.3">
      <c r="A16" s="194">
        <v>5.3</v>
      </c>
      <c r="B16" s="164" t="s">
        <v>159</v>
      </c>
      <c r="C16" s="184"/>
      <c r="D16" s="115"/>
      <c r="E16" s="116"/>
      <c r="F16" s="176"/>
      <c r="G16" s="113"/>
      <c r="H16" s="177"/>
      <c r="I16" s="164" t="str">
        <f>B16</f>
        <v>ציוד אזורי המתנה וחללים כלליים</v>
      </c>
      <c r="J16" s="178"/>
      <c r="K16" s="73"/>
      <c r="L16" s="166"/>
      <c r="M16" s="175"/>
      <c r="N16" s="164" t="str">
        <f>I16</f>
        <v>ציוד אזורי המתנה וחללים כלליים</v>
      </c>
      <c r="O16" s="179"/>
      <c r="P16" s="179"/>
      <c r="Q16" s="180"/>
    </row>
    <row r="17" spans="1:17" s="120" customFormat="1" ht="15.75" customHeight="1" x14ac:dyDescent="0.3">
      <c r="A17" s="185" t="s">
        <v>237</v>
      </c>
      <c r="B17" s="161" t="s">
        <v>102</v>
      </c>
      <c r="C17" s="117"/>
      <c r="D17" s="117">
        <v>3000</v>
      </c>
      <c r="E17" s="117">
        <v>1</v>
      </c>
      <c r="F17" s="246">
        <f t="shared" ref="F17:F21" si="22">E17*D17</f>
        <v>3000</v>
      </c>
      <c r="G17" s="113"/>
      <c r="H17" s="240"/>
      <c r="I17" s="59">
        <f t="shared" ref="I17:I21" si="23">H17*D17</f>
        <v>0</v>
      </c>
      <c r="J17" s="60" t="str">
        <f t="shared" ref="J17:J22" si="24">IFERROR(IF(I17=0,"",IF(OR(I17-$F17&gt;0,I17-$F17&lt;0), (I17-$F17)/$F17, "")),"")</f>
        <v/>
      </c>
      <c r="K17" s="241" t="str">
        <f t="shared" ref="K17:K21" si="25">IF(H17&gt;E17,"יש להסביר חריגה","")</f>
        <v/>
      </c>
      <c r="L17" s="113"/>
      <c r="M17" s="244"/>
      <c r="N17" s="173" t="str">
        <f t="shared" ref="N17:N21" si="26">IF(ISBLANK(M17), "", IF(M17="מאשר", H17, "נא למלא כמות מאושרת"))</f>
        <v/>
      </c>
      <c r="O17" s="59" t="str">
        <f t="shared" ref="O17:O21" si="27">IFERROR(N17*D17,"")</f>
        <v/>
      </c>
      <c r="P17" s="60" t="str">
        <f t="shared" ref="P17:P22" si="28">IFERROR(IF(O17=0,"",IF(OR(O17-$F17&gt;0,O17-$F17&lt;0), (O17-$F17)/$F17, "")),"")</f>
        <v/>
      </c>
      <c r="Q17" s="245"/>
    </row>
    <row r="18" spans="1:17" s="120" customFormat="1" ht="15.75" customHeight="1" x14ac:dyDescent="0.3">
      <c r="A18" s="185" t="s">
        <v>238</v>
      </c>
      <c r="B18" s="44" t="s">
        <v>154</v>
      </c>
      <c r="C18" s="58"/>
      <c r="D18" s="117">
        <v>2000</v>
      </c>
      <c r="E18" s="117">
        <v>1</v>
      </c>
      <c r="F18" s="59">
        <f t="shared" ref="F18" si="29">D18*E18</f>
        <v>2000</v>
      </c>
      <c r="G18" s="1"/>
      <c r="H18" s="240"/>
      <c r="I18" s="59">
        <f t="shared" si="23"/>
        <v>0</v>
      </c>
      <c r="J18" s="60" t="str">
        <f t="shared" si="24"/>
        <v/>
      </c>
      <c r="K18" s="241" t="str">
        <f t="shared" si="25"/>
        <v/>
      </c>
      <c r="L18" s="1"/>
      <c r="M18" s="242"/>
      <c r="N18" s="61" t="str">
        <f t="shared" si="26"/>
        <v/>
      </c>
      <c r="O18" s="59" t="str">
        <f t="shared" si="27"/>
        <v/>
      </c>
      <c r="P18" s="60" t="str">
        <f t="shared" si="28"/>
        <v/>
      </c>
      <c r="Q18" s="243"/>
    </row>
    <row r="19" spans="1:17" s="120" customFormat="1" ht="15.75" customHeight="1" x14ac:dyDescent="0.3">
      <c r="A19" s="185" t="s">
        <v>221</v>
      </c>
      <c r="B19" s="161" t="s">
        <v>103</v>
      </c>
      <c r="C19" s="117"/>
      <c r="D19" s="117">
        <v>500</v>
      </c>
      <c r="E19" s="117">
        <v>5</v>
      </c>
      <c r="F19" s="59">
        <f t="shared" si="22"/>
        <v>2500</v>
      </c>
      <c r="G19" s="113"/>
      <c r="H19" s="240"/>
      <c r="I19" s="59">
        <f t="shared" si="23"/>
        <v>0</v>
      </c>
      <c r="J19" s="60" t="str">
        <f t="shared" si="24"/>
        <v/>
      </c>
      <c r="K19" s="241" t="str">
        <f t="shared" si="25"/>
        <v/>
      </c>
      <c r="L19" s="113"/>
      <c r="M19" s="244"/>
      <c r="N19" s="173" t="str">
        <f t="shared" si="26"/>
        <v/>
      </c>
      <c r="O19" s="59" t="str">
        <f t="shared" si="27"/>
        <v/>
      </c>
      <c r="P19" s="60" t="str">
        <f t="shared" si="28"/>
        <v/>
      </c>
      <c r="Q19" s="245"/>
    </row>
    <row r="20" spans="1:17" s="120" customFormat="1" ht="15.75" customHeight="1" x14ac:dyDescent="0.3">
      <c r="A20" s="185" t="s">
        <v>239</v>
      </c>
      <c r="B20" s="161" t="s">
        <v>100</v>
      </c>
      <c r="C20" s="117"/>
      <c r="D20" s="117">
        <v>2000</v>
      </c>
      <c r="E20" s="117">
        <v>2</v>
      </c>
      <c r="F20" s="59">
        <f t="shared" si="22"/>
        <v>4000</v>
      </c>
      <c r="G20" s="113"/>
      <c r="H20" s="240"/>
      <c r="I20" s="59">
        <f t="shared" si="23"/>
        <v>0</v>
      </c>
      <c r="J20" s="60" t="str">
        <f t="shared" si="24"/>
        <v/>
      </c>
      <c r="K20" s="241" t="str">
        <f t="shared" si="25"/>
        <v/>
      </c>
      <c r="L20" s="113"/>
      <c r="M20" s="244"/>
      <c r="N20" s="173" t="str">
        <f t="shared" si="26"/>
        <v/>
      </c>
      <c r="O20" s="59" t="str">
        <f t="shared" si="27"/>
        <v/>
      </c>
      <c r="P20" s="60" t="str">
        <f t="shared" si="28"/>
        <v/>
      </c>
      <c r="Q20" s="245"/>
    </row>
    <row r="21" spans="1:17" s="120" customFormat="1" ht="15.75" customHeight="1" x14ac:dyDescent="0.3">
      <c r="A21" s="185" t="s">
        <v>277</v>
      </c>
      <c r="B21" s="161" t="s">
        <v>104</v>
      </c>
      <c r="C21" s="117"/>
      <c r="D21" s="117">
        <v>4000</v>
      </c>
      <c r="E21" s="117">
        <v>2</v>
      </c>
      <c r="F21" s="59">
        <f t="shared" si="22"/>
        <v>8000</v>
      </c>
      <c r="G21" s="113"/>
      <c r="H21" s="240"/>
      <c r="I21" s="59">
        <f t="shared" si="23"/>
        <v>0</v>
      </c>
      <c r="J21" s="60" t="str">
        <f t="shared" si="24"/>
        <v/>
      </c>
      <c r="K21" s="241" t="str">
        <f t="shared" si="25"/>
        <v/>
      </c>
      <c r="L21" s="113"/>
      <c r="M21" s="244"/>
      <c r="N21" s="173" t="str">
        <f t="shared" si="26"/>
        <v/>
      </c>
      <c r="O21" s="59" t="str">
        <f t="shared" si="27"/>
        <v/>
      </c>
      <c r="P21" s="60" t="str">
        <f t="shared" si="28"/>
        <v/>
      </c>
      <c r="Q21" s="245"/>
    </row>
    <row r="22" spans="1:17" s="120" customFormat="1" ht="15.75" customHeight="1" x14ac:dyDescent="0.3">
      <c r="A22" s="185" t="s">
        <v>298</v>
      </c>
      <c r="B22" s="161" t="s">
        <v>194</v>
      </c>
      <c r="C22" s="117"/>
      <c r="D22" s="117"/>
      <c r="E22" s="117"/>
      <c r="F22" s="64">
        <f>SUM(F17:F21)</f>
        <v>19500</v>
      </c>
      <c r="G22" s="166"/>
      <c r="H22" s="174"/>
      <c r="I22" s="64">
        <f>SUM(I17:I21)</f>
        <v>0</v>
      </c>
      <c r="J22" s="65" t="str">
        <f t="shared" si="24"/>
        <v/>
      </c>
      <c r="K22" s="46" t="str">
        <f>B22</f>
        <v xml:space="preserve">סך ציוד אזורי המתנה </v>
      </c>
      <c r="L22" s="166"/>
      <c r="M22" s="175"/>
      <c r="N22" s="68"/>
      <c r="O22" s="64">
        <f>SUM(O17:O21)</f>
        <v>0</v>
      </c>
      <c r="P22" s="65" t="str">
        <f t="shared" si="28"/>
        <v/>
      </c>
      <c r="Q22" s="163" t="str">
        <f>B22</f>
        <v xml:space="preserve">סך ציוד אזורי המתנה </v>
      </c>
    </row>
    <row r="23" spans="1:17" ht="15.75" customHeight="1" x14ac:dyDescent="0.3">
      <c r="A23" s="194">
        <v>5.4</v>
      </c>
      <c r="B23" s="183" t="s">
        <v>189</v>
      </c>
      <c r="C23" s="145"/>
      <c r="D23" s="153"/>
      <c r="E23" s="157"/>
      <c r="F23" s="154"/>
      <c r="G23" s="130"/>
      <c r="H23" s="144"/>
      <c r="I23" s="145" t="str">
        <f>B23</f>
        <v xml:space="preserve">ציוד צוות </v>
      </c>
      <c r="J23" s="146"/>
      <c r="K23" s="195"/>
      <c r="L23" s="147"/>
      <c r="M23" s="148"/>
      <c r="N23" s="145" t="str">
        <f>I23</f>
        <v xml:space="preserve">ציוד צוות </v>
      </c>
      <c r="O23" s="149"/>
      <c r="P23" s="149"/>
      <c r="Q23" s="150"/>
    </row>
    <row r="24" spans="1:17" ht="15.75" customHeight="1" x14ac:dyDescent="0.3">
      <c r="A24" s="185" t="s">
        <v>228</v>
      </c>
      <c r="B24" s="137" t="s">
        <v>102</v>
      </c>
      <c r="C24" s="122"/>
      <c r="D24" s="122">
        <v>3000</v>
      </c>
      <c r="E24" s="122">
        <v>3</v>
      </c>
      <c r="F24" s="126">
        <f t="shared" ref="F24:F32" si="30">E24*D24</f>
        <v>9000</v>
      </c>
      <c r="G24" s="130"/>
      <c r="H24" s="240"/>
      <c r="I24" s="59">
        <f t="shared" ref="I24:I32" si="31">H24*D24</f>
        <v>0</v>
      </c>
      <c r="J24" s="60" t="str">
        <f t="shared" ref="J24:J33" si="32">IFERROR(IF(I24=0,"",IF(OR(I24-$F24&gt;0,I24-$F24&lt;0), (I24-$F24)/$F24, "")),"")</f>
        <v/>
      </c>
      <c r="K24" s="241" t="str">
        <f t="shared" ref="K24:K32" si="33">IF(H24&gt;E24,"יש להסביר חריגה","")</f>
        <v/>
      </c>
      <c r="L24" s="113"/>
      <c r="M24" s="244"/>
      <c r="N24" s="173" t="str">
        <f t="shared" ref="N24:N32" si="34">IF(ISBLANK(M24), "", IF(M24="מאשר", H24, "נא למלא כמות מאושרת"))</f>
        <v/>
      </c>
      <c r="O24" s="59" t="str">
        <f t="shared" ref="O24:O32" si="35">IFERROR(N24*D24,"")</f>
        <v/>
      </c>
      <c r="P24" s="60" t="str">
        <f t="shared" ref="P24:P33" si="36">IFERROR(IF(O24=0,"",IF(OR(O24-$F24&gt;0,O24-$F24&lt;0), (O24-$F24)/$F24, "")),"")</f>
        <v/>
      </c>
      <c r="Q24" s="245"/>
    </row>
    <row r="25" spans="1:17" ht="15.75" customHeight="1" x14ac:dyDescent="0.3">
      <c r="A25" s="185" t="s">
        <v>229</v>
      </c>
      <c r="B25" s="137" t="s">
        <v>101</v>
      </c>
      <c r="C25" s="122"/>
      <c r="D25" s="122">
        <v>500</v>
      </c>
      <c r="E25" s="122">
        <v>5</v>
      </c>
      <c r="F25" s="126">
        <f t="shared" si="30"/>
        <v>2500</v>
      </c>
      <c r="G25" s="130"/>
      <c r="H25" s="240"/>
      <c r="I25" s="59">
        <f t="shared" si="31"/>
        <v>0</v>
      </c>
      <c r="J25" s="60" t="str">
        <f t="shared" si="32"/>
        <v/>
      </c>
      <c r="K25" s="241" t="str">
        <f t="shared" si="33"/>
        <v/>
      </c>
      <c r="L25" s="113"/>
      <c r="M25" s="244"/>
      <c r="N25" s="173" t="str">
        <f t="shared" si="34"/>
        <v/>
      </c>
      <c r="O25" s="59" t="str">
        <f t="shared" si="35"/>
        <v/>
      </c>
      <c r="P25" s="60" t="str">
        <f t="shared" si="36"/>
        <v/>
      </c>
      <c r="Q25" s="245"/>
    </row>
    <row r="26" spans="1:17" ht="15.75" customHeight="1" x14ac:dyDescent="0.3">
      <c r="A26" s="185" t="s">
        <v>230</v>
      </c>
      <c r="B26" s="137" t="s">
        <v>111</v>
      </c>
      <c r="C26" s="122"/>
      <c r="D26" s="122">
        <v>1000</v>
      </c>
      <c r="E26" s="122">
        <v>1</v>
      </c>
      <c r="F26" s="126">
        <f t="shared" si="30"/>
        <v>1000</v>
      </c>
      <c r="G26" s="130"/>
      <c r="H26" s="240"/>
      <c r="I26" s="59">
        <f t="shared" si="31"/>
        <v>0</v>
      </c>
      <c r="J26" s="60" t="str">
        <f t="shared" si="32"/>
        <v/>
      </c>
      <c r="K26" s="241" t="str">
        <f t="shared" si="33"/>
        <v/>
      </c>
      <c r="L26" s="113"/>
      <c r="M26" s="244"/>
      <c r="N26" s="173" t="str">
        <f t="shared" si="34"/>
        <v/>
      </c>
      <c r="O26" s="59" t="str">
        <f t="shared" si="35"/>
        <v/>
      </c>
      <c r="P26" s="60" t="str">
        <f t="shared" si="36"/>
        <v/>
      </c>
      <c r="Q26" s="245"/>
    </row>
    <row r="27" spans="1:17" ht="15.75" customHeight="1" x14ac:dyDescent="0.3">
      <c r="A27" s="185" t="s">
        <v>231</v>
      </c>
      <c r="B27" s="137" t="s">
        <v>297</v>
      </c>
      <c r="C27" s="122"/>
      <c r="D27" s="122">
        <v>5000</v>
      </c>
      <c r="E27" s="122">
        <v>4</v>
      </c>
      <c r="F27" s="126">
        <f t="shared" si="30"/>
        <v>20000</v>
      </c>
      <c r="G27" s="130"/>
      <c r="H27" s="240"/>
      <c r="I27" s="59">
        <f t="shared" si="31"/>
        <v>0</v>
      </c>
      <c r="J27" s="60" t="str">
        <f t="shared" si="32"/>
        <v/>
      </c>
      <c r="K27" s="241" t="str">
        <f t="shared" si="33"/>
        <v/>
      </c>
      <c r="L27" s="113"/>
      <c r="M27" s="244"/>
      <c r="N27" s="173" t="str">
        <f t="shared" si="34"/>
        <v/>
      </c>
      <c r="O27" s="59" t="str">
        <f t="shared" si="35"/>
        <v/>
      </c>
      <c r="P27" s="60" t="str">
        <f t="shared" si="36"/>
        <v/>
      </c>
      <c r="Q27" s="245"/>
    </row>
    <row r="28" spans="1:17" ht="15.75" customHeight="1" x14ac:dyDescent="0.3">
      <c r="A28" s="185" t="s">
        <v>232</v>
      </c>
      <c r="B28" s="137" t="s">
        <v>112</v>
      </c>
      <c r="C28" s="122"/>
      <c r="D28" s="122">
        <v>600</v>
      </c>
      <c r="E28" s="122">
        <v>1</v>
      </c>
      <c r="F28" s="126">
        <f t="shared" si="30"/>
        <v>600</v>
      </c>
      <c r="G28" s="130"/>
      <c r="H28" s="240"/>
      <c r="I28" s="59">
        <f t="shared" si="31"/>
        <v>0</v>
      </c>
      <c r="J28" s="60" t="str">
        <f t="shared" si="32"/>
        <v/>
      </c>
      <c r="K28" s="241" t="str">
        <f t="shared" si="33"/>
        <v/>
      </c>
      <c r="L28" s="113"/>
      <c r="M28" s="244"/>
      <c r="N28" s="173" t="str">
        <f t="shared" si="34"/>
        <v/>
      </c>
      <c r="O28" s="59" t="str">
        <f t="shared" si="35"/>
        <v/>
      </c>
      <c r="P28" s="60" t="str">
        <f t="shared" si="36"/>
        <v/>
      </c>
      <c r="Q28" s="245"/>
    </row>
    <row r="29" spans="1:17" ht="15.75" customHeight="1" x14ac:dyDescent="0.3">
      <c r="A29" s="185" t="s">
        <v>233</v>
      </c>
      <c r="B29" s="137" t="s">
        <v>113</v>
      </c>
      <c r="C29" s="122"/>
      <c r="D29" s="122">
        <v>1000</v>
      </c>
      <c r="E29" s="122">
        <v>1</v>
      </c>
      <c r="F29" s="126">
        <f t="shared" si="30"/>
        <v>1000</v>
      </c>
      <c r="G29" s="130"/>
      <c r="H29" s="240"/>
      <c r="I29" s="59">
        <f t="shared" si="31"/>
        <v>0</v>
      </c>
      <c r="J29" s="60" t="str">
        <f t="shared" si="32"/>
        <v/>
      </c>
      <c r="K29" s="241" t="str">
        <f t="shared" si="33"/>
        <v/>
      </c>
      <c r="L29" s="113"/>
      <c r="M29" s="244"/>
      <c r="N29" s="173" t="str">
        <f t="shared" si="34"/>
        <v/>
      </c>
      <c r="O29" s="59" t="str">
        <f t="shared" si="35"/>
        <v/>
      </c>
      <c r="P29" s="60" t="str">
        <f t="shared" si="36"/>
        <v/>
      </c>
      <c r="Q29" s="245"/>
    </row>
    <row r="30" spans="1:17" ht="15.75" customHeight="1" x14ac:dyDescent="0.3">
      <c r="A30" s="185" t="s">
        <v>234</v>
      </c>
      <c r="B30" s="137" t="s">
        <v>104</v>
      </c>
      <c r="C30" s="122"/>
      <c r="D30" s="122">
        <v>4500</v>
      </c>
      <c r="E30" s="122">
        <v>1</v>
      </c>
      <c r="F30" s="126">
        <f t="shared" si="30"/>
        <v>4500</v>
      </c>
      <c r="G30" s="130"/>
      <c r="H30" s="240"/>
      <c r="I30" s="59">
        <f t="shared" si="31"/>
        <v>0</v>
      </c>
      <c r="J30" s="60" t="str">
        <f t="shared" si="32"/>
        <v/>
      </c>
      <c r="K30" s="241" t="str">
        <f t="shared" si="33"/>
        <v/>
      </c>
      <c r="L30" s="113"/>
      <c r="M30" s="244"/>
      <c r="N30" s="173" t="str">
        <f t="shared" si="34"/>
        <v/>
      </c>
      <c r="O30" s="59" t="str">
        <f t="shared" si="35"/>
        <v/>
      </c>
      <c r="P30" s="60" t="str">
        <f t="shared" si="36"/>
        <v/>
      </c>
      <c r="Q30" s="245"/>
    </row>
    <row r="31" spans="1:17" ht="15.75" customHeight="1" x14ac:dyDescent="0.3">
      <c r="A31" s="185" t="s">
        <v>235</v>
      </c>
      <c r="B31" s="137" t="s">
        <v>114</v>
      </c>
      <c r="C31" s="122"/>
      <c r="D31" s="122">
        <v>500</v>
      </c>
      <c r="E31" s="122">
        <v>1</v>
      </c>
      <c r="F31" s="126">
        <f t="shared" si="30"/>
        <v>500</v>
      </c>
      <c r="G31" s="130"/>
      <c r="H31" s="240"/>
      <c r="I31" s="59">
        <f t="shared" si="31"/>
        <v>0</v>
      </c>
      <c r="J31" s="60" t="str">
        <f t="shared" si="32"/>
        <v/>
      </c>
      <c r="K31" s="241" t="str">
        <f t="shared" si="33"/>
        <v/>
      </c>
      <c r="L31" s="113"/>
      <c r="M31" s="244"/>
      <c r="N31" s="173" t="str">
        <f t="shared" si="34"/>
        <v/>
      </c>
      <c r="O31" s="59" t="str">
        <f t="shared" si="35"/>
        <v/>
      </c>
      <c r="P31" s="60" t="str">
        <f t="shared" si="36"/>
        <v/>
      </c>
      <c r="Q31" s="245"/>
    </row>
    <row r="32" spans="1:17" ht="15.75" customHeight="1" x14ac:dyDescent="0.3">
      <c r="A32" s="185" t="s">
        <v>236</v>
      </c>
      <c r="B32" s="137" t="s">
        <v>115</v>
      </c>
      <c r="C32" s="122"/>
      <c r="D32" s="122">
        <v>200</v>
      </c>
      <c r="E32" s="122">
        <v>1</v>
      </c>
      <c r="F32" s="126">
        <f t="shared" si="30"/>
        <v>200</v>
      </c>
      <c r="G32" s="130"/>
      <c r="H32" s="240"/>
      <c r="I32" s="59">
        <f t="shared" si="31"/>
        <v>0</v>
      </c>
      <c r="J32" s="60" t="str">
        <f t="shared" si="32"/>
        <v/>
      </c>
      <c r="K32" s="241" t="str">
        <f t="shared" si="33"/>
        <v/>
      </c>
      <c r="L32" s="113"/>
      <c r="M32" s="244"/>
      <c r="N32" s="173" t="str">
        <f t="shared" si="34"/>
        <v/>
      </c>
      <c r="O32" s="59" t="str">
        <f t="shared" si="35"/>
        <v/>
      </c>
      <c r="P32" s="60" t="str">
        <f t="shared" si="36"/>
        <v/>
      </c>
      <c r="Q32" s="245"/>
    </row>
    <row r="33" spans="1:17" ht="15.75" customHeight="1" x14ac:dyDescent="0.3">
      <c r="A33" s="185" t="s">
        <v>278</v>
      </c>
      <c r="B33" s="183" t="s">
        <v>195</v>
      </c>
      <c r="C33" s="145"/>
      <c r="D33" s="153"/>
      <c r="E33" s="156"/>
      <c r="F33" s="127">
        <f>SUM(F24:F32)</f>
        <v>39300</v>
      </c>
      <c r="G33" s="147"/>
      <c r="H33" s="152"/>
      <c r="I33" s="127">
        <f>SUM(I24:I32)</f>
        <v>0</v>
      </c>
      <c r="J33" s="128" t="str">
        <f t="shared" si="32"/>
        <v/>
      </c>
      <c r="K33" s="194" t="str">
        <f>B33</f>
        <v xml:space="preserve">סך ציוד צוות </v>
      </c>
      <c r="L33" s="147"/>
      <c r="M33" s="148"/>
      <c r="N33" s="129"/>
      <c r="O33" s="127">
        <f>SUM(O24:O32)</f>
        <v>0</v>
      </c>
      <c r="P33" s="128" t="str">
        <f t="shared" si="36"/>
        <v/>
      </c>
      <c r="Q33" s="139" t="str">
        <f>B33</f>
        <v xml:space="preserve">סך ציוד צוות </v>
      </c>
    </row>
    <row r="34" spans="1:17" ht="15.75" customHeight="1" x14ac:dyDescent="0.3">
      <c r="A34" s="194">
        <v>5.5</v>
      </c>
      <c r="B34" s="145" t="s">
        <v>116</v>
      </c>
      <c r="C34" s="145"/>
      <c r="D34" s="153"/>
      <c r="E34" s="157"/>
      <c r="F34" s="154"/>
      <c r="G34" s="130"/>
      <c r="H34" s="144"/>
      <c r="I34" s="145" t="str">
        <f>B34</f>
        <v>עיצוב פנים וציוד כללי אחר</v>
      </c>
      <c r="J34" s="146"/>
      <c r="K34" s="195"/>
      <c r="L34" s="147"/>
      <c r="M34" s="148"/>
      <c r="N34" s="145" t="str">
        <f>I34</f>
        <v>עיצוב פנים וציוד כללי אחר</v>
      </c>
      <c r="O34" s="149"/>
      <c r="P34" s="149"/>
      <c r="Q34" s="150"/>
    </row>
    <row r="35" spans="1:17" ht="15.75" customHeight="1" x14ac:dyDescent="0.3">
      <c r="A35" s="185" t="s">
        <v>225</v>
      </c>
      <c r="B35" s="137" t="s">
        <v>117</v>
      </c>
      <c r="C35" s="228" t="s">
        <v>281</v>
      </c>
      <c r="D35" s="122">
        <v>15000</v>
      </c>
      <c r="E35" s="122">
        <v>1</v>
      </c>
      <c r="F35" s="126">
        <f t="shared" ref="F35:F37" si="37">E35*D35</f>
        <v>15000</v>
      </c>
      <c r="G35" s="130"/>
      <c r="H35" s="240"/>
      <c r="I35" s="59">
        <f t="shared" ref="I35:I37" si="38">H35*D35</f>
        <v>0</v>
      </c>
      <c r="J35" s="60" t="str">
        <f t="shared" ref="J35:J39" si="39">IFERROR(IF(I35=0,"",IF(OR(I35-$F35&gt;0,I35-$F35&lt;0), (I35-$F35)/$F35, "")),"")</f>
        <v/>
      </c>
      <c r="K35" s="241" t="str">
        <f t="shared" ref="K35:K37" si="40">IF(H35&gt;E35,"יש להסביר חריגה","")</f>
        <v/>
      </c>
      <c r="L35" s="113"/>
      <c r="M35" s="244" t="s">
        <v>285</v>
      </c>
      <c r="N35" s="173">
        <f t="shared" ref="N35:N37" si="41">IF(ISBLANK(M35), "", IF(M35="מאשר", H35, "נא למלא כמות מאושרת"))</f>
        <v>0</v>
      </c>
      <c r="O35" s="59">
        <f t="shared" ref="O35:O37" si="42">IFERROR(N35*D35,"")</f>
        <v>0</v>
      </c>
      <c r="P35" s="60" t="str">
        <f t="shared" ref="P35:P39" si="43">IFERROR(IF(O35=0,"",IF(OR(O35-$F35&gt;0,O35-$F35&lt;0), (O35-$F35)/$F35, "")),"")</f>
        <v/>
      </c>
      <c r="Q35" s="245"/>
    </row>
    <row r="36" spans="1:17" ht="15.75" customHeight="1" x14ac:dyDescent="0.3">
      <c r="A36" s="185" t="s">
        <v>226</v>
      </c>
      <c r="B36" s="137" t="s">
        <v>280</v>
      </c>
      <c r="C36" s="228" t="s">
        <v>156</v>
      </c>
      <c r="D36" s="122">
        <v>5000</v>
      </c>
      <c r="E36" s="122">
        <v>1</v>
      </c>
      <c r="F36" s="126">
        <f t="shared" si="37"/>
        <v>5000</v>
      </c>
      <c r="G36" s="130"/>
      <c r="H36" s="240"/>
      <c r="I36" s="59">
        <f t="shared" si="38"/>
        <v>0</v>
      </c>
      <c r="J36" s="60" t="str">
        <f t="shared" si="39"/>
        <v/>
      </c>
      <c r="K36" s="241" t="str">
        <f t="shared" si="40"/>
        <v/>
      </c>
      <c r="L36" s="113"/>
      <c r="M36" s="244" t="s">
        <v>285</v>
      </c>
      <c r="N36" s="173">
        <f t="shared" si="41"/>
        <v>0</v>
      </c>
      <c r="O36" s="59">
        <f t="shared" si="42"/>
        <v>0</v>
      </c>
      <c r="P36" s="60" t="str">
        <f t="shared" si="43"/>
        <v/>
      </c>
      <c r="Q36" s="245"/>
    </row>
    <row r="37" spans="1:17" ht="14" x14ac:dyDescent="0.3">
      <c r="A37" s="185" t="s">
        <v>227</v>
      </c>
      <c r="B37" s="137" t="s">
        <v>118</v>
      </c>
      <c r="C37" s="122"/>
      <c r="D37" s="122">
        <v>450</v>
      </c>
      <c r="E37" s="122">
        <v>4</v>
      </c>
      <c r="F37" s="126">
        <f t="shared" si="37"/>
        <v>1800</v>
      </c>
      <c r="G37" s="130"/>
      <c r="H37" s="240"/>
      <c r="I37" s="59">
        <f t="shared" si="38"/>
        <v>0</v>
      </c>
      <c r="J37" s="60" t="str">
        <f t="shared" si="39"/>
        <v/>
      </c>
      <c r="K37" s="241" t="str">
        <f t="shared" si="40"/>
        <v/>
      </c>
      <c r="L37" s="113"/>
      <c r="M37" s="244" t="s">
        <v>285</v>
      </c>
      <c r="N37" s="173">
        <f t="shared" si="41"/>
        <v>0</v>
      </c>
      <c r="O37" s="59">
        <f t="shared" si="42"/>
        <v>0</v>
      </c>
      <c r="P37" s="60" t="str">
        <f t="shared" si="43"/>
        <v/>
      </c>
      <c r="Q37" s="245"/>
    </row>
    <row r="38" spans="1:17" ht="15.75" customHeight="1" x14ac:dyDescent="0.3">
      <c r="A38" s="185" t="s">
        <v>279</v>
      </c>
      <c r="B38" s="183" t="s">
        <v>196</v>
      </c>
      <c r="C38" s="145"/>
      <c r="D38" s="153"/>
      <c r="E38" s="156"/>
      <c r="F38" s="127">
        <f>SUM(F35:F37)</f>
        <v>21800</v>
      </c>
      <c r="G38" s="147"/>
      <c r="H38" s="152"/>
      <c r="I38" s="127">
        <f>SUM(I35:I37)</f>
        <v>0</v>
      </c>
      <c r="J38" s="128" t="str">
        <f t="shared" si="39"/>
        <v/>
      </c>
      <c r="K38" s="194" t="str">
        <f>B38</f>
        <v xml:space="preserve">סך עיצוב פנים כולל שירות ואביזרים </v>
      </c>
      <c r="L38" s="147"/>
      <c r="M38" s="148"/>
      <c r="N38" s="129"/>
      <c r="O38" s="127">
        <f>SUM(O35:O37)</f>
        <v>0</v>
      </c>
      <c r="P38" s="128" t="str">
        <f t="shared" si="43"/>
        <v/>
      </c>
      <c r="Q38" s="139" t="str">
        <f>B38</f>
        <v xml:space="preserve">סך עיצוב פנים כולל שירות ואביזרים </v>
      </c>
    </row>
    <row r="39" spans="1:17" ht="15.75" customHeight="1" x14ac:dyDescent="0.3">
      <c r="A39" s="222" t="s">
        <v>144</v>
      </c>
      <c r="B39" s="145" t="str">
        <f>B2</f>
        <v>ציוד כללי</v>
      </c>
      <c r="C39" s="145"/>
      <c r="D39" s="158"/>
      <c r="E39" s="135"/>
      <c r="F39" s="127">
        <f>F10+F15+F22+F33+F38</f>
        <v>133600</v>
      </c>
      <c r="G39" s="130"/>
      <c r="H39" s="152"/>
      <c r="I39" s="127">
        <f>I10+I15+I22+I33+I38</f>
        <v>0</v>
      </c>
      <c r="J39" s="128" t="str">
        <f t="shared" si="39"/>
        <v/>
      </c>
      <c r="K39" s="194" t="str">
        <f>B39</f>
        <v>ציוד כללי</v>
      </c>
      <c r="L39" s="130"/>
      <c r="M39" s="148"/>
      <c r="N39" s="129"/>
      <c r="O39" s="127">
        <f>O10+O15+O22+O33+O38</f>
        <v>0</v>
      </c>
      <c r="P39" s="128" t="str">
        <f t="shared" si="43"/>
        <v/>
      </c>
      <c r="Q39" s="139" t="str">
        <f>B39</f>
        <v>ציוד כללי</v>
      </c>
    </row>
  </sheetData>
  <sheetProtection algorithmName="SHA-512" hashValue="chm0L2tpNPXhiPNt0y9qgu1tBVynL3Jz6I+QxyAjvyyXQM1iBio7r32VaGNTw3kt4ncbK7oUN5FhQ+0qDPksBQ==" saltValue="duFM7pvz+g5ExqOnNkOdnA==" spinCount="100000" sheet="1" formatCells="0" formatColumns="0" formatRows="0"/>
  <conditionalFormatting sqref="J12:J14 P12:P14 J6:J10 P6:P10 J17 P17 J24:J33 P24:P33 J38:J39 P38:P39 P19:P22 J19:J22">
    <cfRule type="cellIs" dxfId="4" priority="10" operator="greaterThan">
      <formula>0</formula>
    </cfRule>
  </conditionalFormatting>
  <conditionalFormatting sqref="J15 P15">
    <cfRule type="cellIs" dxfId="3" priority="14" operator="greaterThan">
      <formula>0</formula>
    </cfRule>
  </conditionalFormatting>
  <conditionalFormatting sqref="J35:J37 P35:P37">
    <cfRule type="cellIs" dxfId="2" priority="4" operator="greaterThan">
      <formula>0</formula>
    </cfRule>
  </conditionalFormatting>
  <conditionalFormatting sqref="J18">
    <cfRule type="cellIs" dxfId="1" priority="2" operator="greaterThan">
      <formula>0</formula>
    </cfRule>
  </conditionalFormatting>
  <conditionalFormatting sqref="P18">
    <cfRule type="cellIs" dxfId="0" priority="1" operator="greaterThan">
      <formula>0</formula>
    </cfRule>
  </conditionalFormatting>
  <dataValidations count="1">
    <dataValidation type="list" allowBlank="1" showErrorMessage="1" sqref="M6:M9 M12:M14 M35:M37 M24:M32 M17:M21">
      <formula1>"מאשר,מאשר חלקי"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rightToLeft="1"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/>
    </sheetView>
  </sheetViews>
  <sheetFormatPr defaultColWidth="12.58203125" defaultRowHeight="15" customHeight="1" x14ac:dyDescent="0.3"/>
  <cols>
    <col min="1" max="1" width="5.33203125" customWidth="1"/>
    <col min="2" max="2" width="13.33203125" customWidth="1"/>
    <col min="3" max="3" width="11.25" customWidth="1"/>
    <col min="4" max="4" width="18.08203125" customWidth="1"/>
    <col min="5" max="5" width="9" customWidth="1"/>
    <col min="6" max="6" width="11.25" customWidth="1"/>
    <col min="7" max="7" width="11" customWidth="1"/>
    <col min="8" max="8" width="10.08203125" customWidth="1"/>
    <col min="9" max="9" width="16.83203125" customWidth="1"/>
    <col min="10" max="10" width="11.33203125" customWidth="1"/>
    <col min="11" max="11" width="1.58203125" customWidth="1"/>
    <col min="12" max="12" width="12.83203125" customWidth="1"/>
    <col min="13" max="13" width="9.5" customWidth="1"/>
    <col min="14" max="14" width="9.58203125" customWidth="1"/>
    <col min="15" max="15" width="9.75" customWidth="1"/>
    <col min="16" max="16" width="9.83203125" customWidth="1"/>
    <col min="17" max="17" width="18.08203125" customWidth="1"/>
    <col min="18" max="26" width="9" customWidth="1"/>
  </cols>
  <sheetData>
    <row r="1" spans="1:17" ht="14" x14ac:dyDescent="0.3">
      <c r="A1" s="49" t="str">
        <f>פתיח!$D$11</f>
        <v xml:space="preserve">תקן הצטיידות לבריכות טיפוליות </v>
      </c>
      <c r="B1" s="1"/>
      <c r="C1" s="49"/>
      <c r="D1" s="1"/>
      <c r="E1" s="1"/>
      <c r="F1" s="1"/>
      <c r="G1" s="1"/>
      <c r="H1" s="1"/>
      <c r="I1" s="1"/>
      <c r="J1" s="1"/>
      <c r="K1" s="1"/>
      <c r="L1" s="1"/>
      <c r="M1" s="82"/>
      <c r="N1" s="82"/>
      <c r="O1" s="82"/>
      <c r="P1" s="83"/>
      <c r="Q1" s="1"/>
    </row>
    <row r="2" spans="1:17" ht="14" x14ac:dyDescent="0.3">
      <c r="A2" s="49">
        <f>'תוכן עניינים'!B20</f>
        <v>6</v>
      </c>
      <c r="B2" s="49" t="str">
        <f>'תוכן עניינים'!C20</f>
        <v>ציוד נוסף שלא מופיע בתקן</v>
      </c>
      <c r="C2" s="49"/>
      <c r="D2" s="1"/>
      <c r="E2" s="84" t="s">
        <v>119</v>
      </c>
      <c r="F2" s="1"/>
      <c r="G2" s="1"/>
      <c r="H2" s="1"/>
      <c r="I2" s="1"/>
      <c r="J2" s="1"/>
      <c r="K2" s="1"/>
      <c r="L2" s="1"/>
      <c r="M2" s="82"/>
      <c r="N2" s="82"/>
      <c r="O2" s="82"/>
      <c r="P2" s="85"/>
      <c r="Q2" s="1"/>
    </row>
    <row r="3" spans="1:17" ht="28" x14ac:dyDescent="0.3">
      <c r="A3" s="42" t="s">
        <v>47</v>
      </c>
      <c r="B3" s="42" t="s">
        <v>120</v>
      </c>
      <c r="C3" s="86" t="s">
        <v>121</v>
      </c>
      <c r="D3" s="42" t="s">
        <v>122</v>
      </c>
      <c r="E3" s="42" t="s">
        <v>53</v>
      </c>
      <c r="F3" s="42" t="s">
        <v>123</v>
      </c>
      <c r="G3" s="42" t="s">
        <v>124</v>
      </c>
      <c r="H3" s="42" t="s">
        <v>125</v>
      </c>
      <c r="I3" s="42" t="s">
        <v>126</v>
      </c>
      <c r="J3" s="42" t="s">
        <v>56</v>
      </c>
      <c r="K3" s="1"/>
      <c r="L3" s="42" t="s">
        <v>127</v>
      </c>
      <c r="M3" s="42" t="s">
        <v>58</v>
      </c>
      <c r="N3" s="87" t="s">
        <v>128</v>
      </c>
      <c r="O3" s="42" t="s">
        <v>129</v>
      </c>
      <c r="P3" s="88" t="s">
        <v>130</v>
      </c>
      <c r="Q3" s="42" t="s">
        <v>131</v>
      </c>
    </row>
    <row r="4" spans="1:17" ht="14" x14ac:dyDescent="0.3">
      <c r="A4" s="89">
        <v>6.1</v>
      </c>
      <c r="B4" s="268"/>
      <c r="C4" s="236"/>
      <c r="D4" s="236"/>
      <c r="E4" s="236"/>
      <c r="F4" s="236"/>
      <c r="G4" s="236"/>
      <c r="H4" s="236"/>
      <c r="I4" s="90">
        <f t="shared" ref="I4:I28" si="0">(MIN($F4:$H4))*E4</f>
        <v>0</v>
      </c>
      <c r="J4" s="241"/>
      <c r="K4" s="1"/>
      <c r="L4" s="243"/>
      <c r="M4" s="247" t="str">
        <f t="shared" ref="M4:M28" si="1">IF(ISBLANK(L4),"",IF(L4="מאשר",E4,""))</f>
        <v/>
      </c>
      <c r="N4" s="248"/>
      <c r="O4" s="91">
        <f t="shared" ref="O4:O28" si="2">IF(N4="הצעה א",F4,IF(N4="הצעה ב",G4,IF(N4="הצעה ג",H4,MIN(F4:H4))))</f>
        <v>0</v>
      </c>
      <c r="P4" s="92" t="str">
        <f t="shared" ref="P4:P28" si="3">IFERROR(IF(L4="","",M4*O4),"")</f>
        <v/>
      </c>
      <c r="Q4" s="243"/>
    </row>
    <row r="5" spans="1:17" ht="14" x14ac:dyDescent="0.3">
      <c r="A5" s="89">
        <v>6.2</v>
      </c>
      <c r="B5" s="269"/>
      <c r="C5" s="236"/>
      <c r="D5" s="236"/>
      <c r="E5" s="236"/>
      <c r="F5" s="236"/>
      <c r="G5" s="236"/>
      <c r="H5" s="236"/>
      <c r="I5" s="90">
        <f t="shared" si="0"/>
        <v>0</v>
      </c>
      <c r="J5" s="241"/>
      <c r="K5" s="1"/>
      <c r="L5" s="243"/>
      <c r="M5" s="247" t="str">
        <f t="shared" si="1"/>
        <v/>
      </c>
      <c r="N5" s="248"/>
      <c r="O5" s="91">
        <f t="shared" si="2"/>
        <v>0</v>
      </c>
      <c r="P5" s="92" t="str">
        <f t="shared" si="3"/>
        <v/>
      </c>
      <c r="Q5" s="243"/>
    </row>
    <row r="6" spans="1:17" ht="14" x14ac:dyDescent="0.3">
      <c r="A6" s="89">
        <v>6.3</v>
      </c>
      <c r="B6" s="269"/>
      <c r="C6" s="236"/>
      <c r="D6" s="236"/>
      <c r="E6" s="236"/>
      <c r="F6" s="236"/>
      <c r="G6" s="236"/>
      <c r="H6" s="236"/>
      <c r="I6" s="90">
        <f t="shared" si="0"/>
        <v>0</v>
      </c>
      <c r="J6" s="241"/>
      <c r="K6" s="1"/>
      <c r="L6" s="243"/>
      <c r="M6" s="247" t="str">
        <f t="shared" si="1"/>
        <v/>
      </c>
      <c r="N6" s="248"/>
      <c r="O6" s="91">
        <f t="shared" si="2"/>
        <v>0</v>
      </c>
      <c r="P6" s="92" t="str">
        <f t="shared" si="3"/>
        <v/>
      </c>
      <c r="Q6" s="243"/>
    </row>
    <row r="7" spans="1:17" ht="14" x14ac:dyDescent="0.3">
      <c r="A7" s="89">
        <v>6.4</v>
      </c>
      <c r="B7" s="269"/>
      <c r="C7" s="236"/>
      <c r="D7" s="236"/>
      <c r="E7" s="236"/>
      <c r="F7" s="236"/>
      <c r="G7" s="236"/>
      <c r="H7" s="236"/>
      <c r="I7" s="90">
        <f t="shared" si="0"/>
        <v>0</v>
      </c>
      <c r="J7" s="241"/>
      <c r="K7" s="1"/>
      <c r="L7" s="243"/>
      <c r="M7" s="248" t="str">
        <f t="shared" si="1"/>
        <v/>
      </c>
      <c r="N7" s="248"/>
      <c r="O7" s="91">
        <f t="shared" si="2"/>
        <v>0</v>
      </c>
      <c r="P7" s="92" t="str">
        <f t="shared" si="3"/>
        <v/>
      </c>
      <c r="Q7" s="243"/>
    </row>
    <row r="8" spans="1:17" ht="14" x14ac:dyDescent="0.3">
      <c r="A8" s="89">
        <v>6.5</v>
      </c>
      <c r="B8" s="270"/>
      <c r="C8" s="236"/>
      <c r="D8" s="236"/>
      <c r="E8" s="236"/>
      <c r="F8" s="236"/>
      <c r="G8" s="236"/>
      <c r="H8" s="236"/>
      <c r="I8" s="90">
        <f t="shared" si="0"/>
        <v>0</v>
      </c>
      <c r="J8" s="241"/>
      <c r="K8" s="1"/>
      <c r="L8" s="243"/>
      <c r="M8" s="248" t="str">
        <f t="shared" si="1"/>
        <v/>
      </c>
      <c r="N8" s="248"/>
      <c r="O8" s="91">
        <f t="shared" si="2"/>
        <v>0</v>
      </c>
      <c r="P8" s="92" t="str">
        <f t="shared" si="3"/>
        <v/>
      </c>
      <c r="Q8" s="243"/>
    </row>
    <row r="9" spans="1:17" ht="14" x14ac:dyDescent="0.3">
      <c r="A9" s="89">
        <v>6.6</v>
      </c>
      <c r="B9" s="268"/>
      <c r="C9" s="236"/>
      <c r="D9" s="236"/>
      <c r="E9" s="236"/>
      <c r="F9" s="236"/>
      <c r="G9" s="236"/>
      <c r="H9" s="236"/>
      <c r="I9" s="90">
        <f t="shared" si="0"/>
        <v>0</v>
      </c>
      <c r="J9" s="241"/>
      <c r="K9" s="1"/>
      <c r="L9" s="243"/>
      <c r="M9" s="248" t="str">
        <f t="shared" si="1"/>
        <v/>
      </c>
      <c r="N9" s="248"/>
      <c r="O9" s="91">
        <f t="shared" si="2"/>
        <v>0</v>
      </c>
      <c r="P9" s="92" t="str">
        <f t="shared" si="3"/>
        <v/>
      </c>
      <c r="Q9" s="243"/>
    </row>
    <row r="10" spans="1:17" ht="14" x14ac:dyDescent="0.3">
      <c r="A10" s="89">
        <v>6.7</v>
      </c>
      <c r="B10" s="269"/>
      <c r="C10" s="236"/>
      <c r="D10" s="236"/>
      <c r="E10" s="236"/>
      <c r="F10" s="236"/>
      <c r="G10" s="236"/>
      <c r="H10" s="236"/>
      <c r="I10" s="90">
        <f t="shared" si="0"/>
        <v>0</v>
      </c>
      <c r="J10" s="241"/>
      <c r="K10" s="1"/>
      <c r="L10" s="243"/>
      <c r="M10" s="248" t="str">
        <f t="shared" si="1"/>
        <v/>
      </c>
      <c r="N10" s="248"/>
      <c r="O10" s="91">
        <f t="shared" si="2"/>
        <v>0</v>
      </c>
      <c r="P10" s="92" t="str">
        <f t="shared" si="3"/>
        <v/>
      </c>
      <c r="Q10" s="243"/>
    </row>
    <row r="11" spans="1:17" ht="14" x14ac:dyDescent="0.3">
      <c r="A11" s="89">
        <v>6.8</v>
      </c>
      <c r="B11" s="269"/>
      <c r="C11" s="236"/>
      <c r="D11" s="236"/>
      <c r="E11" s="236"/>
      <c r="F11" s="236"/>
      <c r="G11" s="236"/>
      <c r="H11" s="236"/>
      <c r="I11" s="90">
        <f t="shared" si="0"/>
        <v>0</v>
      </c>
      <c r="J11" s="241"/>
      <c r="K11" s="1"/>
      <c r="L11" s="243"/>
      <c r="M11" s="248" t="str">
        <f t="shared" si="1"/>
        <v/>
      </c>
      <c r="N11" s="248"/>
      <c r="O11" s="91">
        <f t="shared" si="2"/>
        <v>0</v>
      </c>
      <c r="P11" s="92" t="str">
        <f t="shared" si="3"/>
        <v/>
      </c>
      <c r="Q11" s="243"/>
    </row>
    <row r="12" spans="1:17" ht="14" x14ac:dyDescent="0.3">
      <c r="A12" s="89">
        <v>6.9</v>
      </c>
      <c r="B12" s="269"/>
      <c r="C12" s="236"/>
      <c r="D12" s="236"/>
      <c r="E12" s="236"/>
      <c r="F12" s="236"/>
      <c r="G12" s="236"/>
      <c r="H12" s="236"/>
      <c r="I12" s="90">
        <f t="shared" si="0"/>
        <v>0</v>
      </c>
      <c r="J12" s="241"/>
      <c r="K12" s="1"/>
      <c r="L12" s="243"/>
      <c r="M12" s="248" t="str">
        <f t="shared" si="1"/>
        <v/>
      </c>
      <c r="N12" s="248"/>
      <c r="O12" s="91">
        <f t="shared" si="2"/>
        <v>0</v>
      </c>
      <c r="P12" s="92" t="str">
        <f t="shared" si="3"/>
        <v/>
      </c>
      <c r="Q12" s="243"/>
    </row>
    <row r="13" spans="1:17" ht="14" x14ac:dyDescent="0.3">
      <c r="A13" s="93">
        <v>6.1</v>
      </c>
      <c r="B13" s="270"/>
      <c r="C13" s="236"/>
      <c r="D13" s="236"/>
      <c r="E13" s="236"/>
      <c r="F13" s="236"/>
      <c r="G13" s="236"/>
      <c r="H13" s="236"/>
      <c r="I13" s="90">
        <f t="shared" si="0"/>
        <v>0</v>
      </c>
      <c r="J13" s="241"/>
      <c r="K13" s="1"/>
      <c r="L13" s="243"/>
      <c r="M13" s="248" t="str">
        <f t="shared" si="1"/>
        <v/>
      </c>
      <c r="N13" s="248"/>
      <c r="O13" s="91">
        <f t="shared" si="2"/>
        <v>0</v>
      </c>
      <c r="P13" s="92" t="str">
        <f t="shared" si="3"/>
        <v/>
      </c>
      <c r="Q13" s="243"/>
    </row>
    <row r="14" spans="1:17" ht="14" x14ac:dyDescent="0.3">
      <c r="A14" s="93">
        <v>6.11</v>
      </c>
      <c r="B14" s="268"/>
      <c r="C14" s="236"/>
      <c r="D14" s="236"/>
      <c r="E14" s="236"/>
      <c r="F14" s="236"/>
      <c r="G14" s="236"/>
      <c r="H14" s="236"/>
      <c r="I14" s="90">
        <f t="shared" si="0"/>
        <v>0</v>
      </c>
      <c r="J14" s="241"/>
      <c r="K14" s="1"/>
      <c r="L14" s="243"/>
      <c r="M14" s="248" t="str">
        <f t="shared" si="1"/>
        <v/>
      </c>
      <c r="N14" s="248"/>
      <c r="O14" s="91">
        <f t="shared" si="2"/>
        <v>0</v>
      </c>
      <c r="P14" s="92" t="str">
        <f t="shared" si="3"/>
        <v/>
      </c>
      <c r="Q14" s="243"/>
    </row>
    <row r="15" spans="1:17" ht="14" x14ac:dyDescent="0.3">
      <c r="A15" s="93">
        <v>6.12</v>
      </c>
      <c r="B15" s="269"/>
      <c r="C15" s="236"/>
      <c r="D15" s="236"/>
      <c r="E15" s="236"/>
      <c r="F15" s="236"/>
      <c r="G15" s="236"/>
      <c r="H15" s="236"/>
      <c r="I15" s="90">
        <f t="shared" si="0"/>
        <v>0</v>
      </c>
      <c r="J15" s="241"/>
      <c r="K15" s="1"/>
      <c r="L15" s="243"/>
      <c r="M15" s="248" t="str">
        <f t="shared" si="1"/>
        <v/>
      </c>
      <c r="N15" s="248"/>
      <c r="O15" s="91">
        <f t="shared" si="2"/>
        <v>0</v>
      </c>
      <c r="P15" s="92" t="str">
        <f t="shared" si="3"/>
        <v/>
      </c>
      <c r="Q15" s="243"/>
    </row>
    <row r="16" spans="1:17" ht="14" x14ac:dyDescent="0.3">
      <c r="A16" s="93">
        <v>6.13</v>
      </c>
      <c r="B16" s="269"/>
      <c r="C16" s="236"/>
      <c r="D16" s="236"/>
      <c r="E16" s="236"/>
      <c r="F16" s="236"/>
      <c r="G16" s="236"/>
      <c r="H16" s="236"/>
      <c r="I16" s="90">
        <f t="shared" si="0"/>
        <v>0</v>
      </c>
      <c r="J16" s="241"/>
      <c r="K16" s="1"/>
      <c r="L16" s="243"/>
      <c r="M16" s="248" t="str">
        <f t="shared" si="1"/>
        <v/>
      </c>
      <c r="N16" s="248"/>
      <c r="O16" s="91">
        <f t="shared" si="2"/>
        <v>0</v>
      </c>
      <c r="P16" s="92" t="str">
        <f t="shared" si="3"/>
        <v/>
      </c>
      <c r="Q16" s="243"/>
    </row>
    <row r="17" spans="1:17" ht="14" x14ac:dyDescent="0.3">
      <c r="A17" s="93">
        <v>6.14</v>
      </c>
      <c r="B17" s="269"/>
      <c r="C17" s="236"/>
      <c r="D17" s="236"/>
      <c r="E17" s="236"/>
      <c r="F17" s="236"/>
      <c r="G17" s="236"/>
      <c r="H17" s="236"/>
      <c r="I17" s="90">
        <f t="shared" si="0"/>
        <v>0</v>
      </c>
      <c r="J17" s="241"/>
      <c r="K17" s="1"/>
      <c r="L17" s="243"/>
      <c r="M17" s="248" t="str">
        <f t="shared" si="1"/>
        <v/>
      </c>
      <c r="N17" s="248"/>
      <c r="O17" s="91">
        <f t="shared" si="2"/>
        <v>0</v>
      </c>
      <c r="P17" s="92" t="str">
        <f t="shared" si="3"/>
        <v/>
      </c>
      <c r="Q17" s="243"/>
    </row>
    <row r="18" spans="1:17" ht="14" x14ac:dyDescent="0.3">
      <c r="A18" s="93">
        <v>6.15</v>
      </c>
      <c r="B18" s="270"/>
      <c r="C18" s="236"/>
      <c r="D18" s="236"/>
      <c r="E18" s="236"/>
      <c r="F18" s="236"/>
      <c r="G18" s="236"/>
      <c r="H18" s="236"/>
      <c r="I18" s="90">
        <f t="shared" si="0"/>
        <v>0</v>
      </c>
      <c r="J18" s="241"/>
      <c r="K18" s="1"/>
      <c r="L18" s="243"/>
      <c r="M18" s="248" t="str">
        <f t="shared" si="1"/>
        <v/>
      </c>
      <c r="N18" s="248"/>
      <c r="O18" s="91">
        <f t="shared" si="2"/>
        <v>0</v>
      </c>
      <c r="P18" s="92" t="str">
        <f t="shared" si="3"/>
        <v/>
      </c>
      <c r="Q18" s="243"/>
    </row>
    <row r="19" spans="1:17" ht="14" x14ac:dyDescent="0.3">
      <c r="A19" s="93">
        <v>6.16</v>
      </c>
      <c r="B19" s="268"/>
      <c r="C19" s="236"/>
      <c r="D19" s="236"/>
      <c r="E19" s="236"/>
      <c r="F19" s="236"/>
      <c r="G19" s="236"/>
      <c r="H19" s="236"/>
      <c r="I19" s="90">
        <f t="shared" si="0"/>
        <v>0</v>
      </c>
      <c r="J19" s="241"/>
      <c r="K19" s="1"/>
      <c r="L19" s="243"/>
      <c r="M19" s="248" t="str">
        <f t="shared" si="1"/>
        <v/>
      </c>
      <c r="N19" s="248"/>
      <c r="O19" s="91">
        <f t="shared" si="2"/>
        <v>0</v>
      </c>
      <c r="P19" s="92" t="str">
        <f t="shared" si="3"/>
        <v/>
      </c>
      <c r="Q19" s="243"/>
    </row>
    <row r="20" spans="1:17" ht="14" x14ac:dyDescent="0.3">
      <c r="A20" s="93">
        <v>6.17</v>
      </c>
      <c r="B20" s="269"/>
      <c r="C20" s="236"/>
      <c r="D20" s="236"/>
      <c r="E20" s="236"/>
      <c r="F20" s="236"/>
      <c r="G20" s="236"/>
      <c r="H20" s="236"/>
      <c r="I20" s="90">
        <f t="shared" si="0"/>
        <v>0</v>
      </c>
      <c r="J20" s="241"/>
      <c r="K20" s="1"/>
      <c r="L20" s="243"/>
      <c r="M20" s="248" t="str">
        <f t="shared" si="1"/>
        <v/>
      </c>
      <c r="N20" s="248"/>
      <c r="O20" s="91">
        <f t="shared" si="2"/>
        <v>0</v>
      </c>
      <c r="P20" s="92" t="str">
        <f t="shared" si="3"/>
        <v/>
      </c>
      <c r="Q20" s="243"/>
    </row>
    <row r="21" spans="1:17" ht="15.75" customHeight="1" x14ac:dyDescent="0.3">
      <c r="A21" s="93">
        <v>6.1800000000000104</v>
      </c>
      <c r="B21" s="269"/>
      <c r="C21" s="236"/>
      <c r="D21" s="236"/>
      <c r="E21" s="236"/>
      <c r="F21" s="236"/>
      <c r="G21" s="236"/>
      <c r="H21" s="236"/>
      <c r="I21" s="90">
        <f t="shared" si="0"/>
        <v>0</v>
      </c>
      <c r="J21" s="241"/>
      <c r="K21" s="1"/>
      <c r="L21" s="243"/>
      <c r="M21" s="248" t="str">
        <f t="shared" si="1"/>
        <v/>
      </c>
      <c r="N21" s="248"/>
      <c r="O21" s="91">
        <f t="shared" si="2"/>
        <v>0</v>
      </c>
      <c r="P21" s="92" t="str">
        <f t="shared" si="3"/>
        <v/>
      </c>
      <c r="Q21" s="243"/>
    </row>
    <row r="22" spans="1:17" ht="15.75" customHeight="1" x14ac:dyDescent="0.3">
      <c r="A22" s="93">
        <v>6.1900000000000102</v>
      </c>
      <c r="B22" s="269"/>
      <c r="C22" s="236"/>
      <c r="D22" s="236"/>
      <c r="E22" s="236"/>
      <c r="F22" s="236"/>
      <c r="G22" s="236"/>
      <c r="H22" s="236"/>
      <c r="I22" s="90">
        <f t="shared" si="0"/>
        <v>0</v>
      </c>
      <c r="J22" s="241"/>
      <c r="K22" s="1"/>
      <c r="L22" s="243"/>
      <c r="M22" s="248" t="str">
        <f t="shared" si="1"/>
        <v/>
      </c>
      <c r="N22" s="248"/>
      <c r="O22" s="91">
        <f t="shared" si="2"/>
        <v>0</v>
      </c>
      <c r="P22" s="92" t="str">
        <f t="shared" si="3"/>
        <v/>
      </c>
      <c r="Q22" s="243"/>
    </row>
    <row r="23" spans="1:17" ht="15.75" customHeight="1" x14ac:dyDescent="0.3">
      <c r="A23" s="93">
        <v>6.2000000000000099</v>
      </c>
      <c r="B23" s="270"/>
      <c r="C23" s="236"/>
      <c r="D23" s="236"/>
      <c r="E23" s="236"/>
      <c r="F23" s="236"/>
      <c r="G23" s="236"/>
      <c r="H23" s="236"/>
      <c r="I23" s="90">
        <f t="shared" si="0"/>
        <v>0</v>
      </c>
      <c r="J23" s="241"/>
      <c r="K23" s="1"/>
      <c r="L23" s="243"/>
      <c r="M23" s="248" t="str">
        <f t="shared" si="1"/>
        <v/>
      </c>
      <c r="N23" s="248"/>
      <c r="O23" s="91">
        <f t="shared" si="2"/>
        <v>0</v>
      </c>
      <c r="P23" s="92" t="str">
        <f t="shared" si="3"/>
        <v/>
      </c>
      <c r="Q23" s="243"/>
    </row>
    <row r="24" spans="1:17" ht="15.75" customHeight="1" x14ac:dyDescent="0.3">
      <c r="A24" s="93">
        <v>6.2100000000000097</v>
      </c>
      <c r="B24" s="268"/>
      <c r="C24" s="236"/>
      <c r="D24" s="236"/>
      <c r="E24" s="236"/>
      <c r="F24" s="236"/>
      <c r="G24" s="236"/>
      <c r="H24" s="236"/>
      <c r="I24" s="90">
        <f t="shared" si="0"/>
        <v>0</v>
      </c>
      <c r="J24" s="241"/>
      <c r="K24" s="1"/>
      <c r="L24" s="243"/>
      <c r="M24" s="248" t="str">
        <f t="shared" si="1"/>
        <v/>
      </c>
      <c r="N24" s="248"/>
      <c r="O24" s="91">
        <f t="shared" si="2"/>
        <v>0</v>
      </c>
      <c r="P24" s="92" t="str">
        <f t="shared" si="3"/>
        <v/>
      </c>
      <c r="Q24" s="243"/>
    </row>
    <row r="25" spans="1:17" ht="15.75" customHeight="1" x14ac:dyDescent="0.3">
      <c r="A25" s="93">
        <v>6.2200000000000104</v>
      </c>
      <c r="B25" s="269"/>
      <c r="C25" s="236"/>
      <c r="D25" s="236"/>
      <c r="E25" s="236"/>
      <c r="F25" s="236"/>
      <c r="G25" s="236"/>
      <c r="H25" s="236"/>
      <c r="I25" s="90">
        <f t="shared" si="0"/>
        <v>0</v>
      </c>
      <c r="J25" s="241"/>
      <c r="K25" s="1"/>
      <c r="L25" s="243"/>
      <c r="M25" s="248" t="str">
        <f t="shared" si="1"/>
        <v/>
      </c>
      <c r="N25" s="248"/>
      <c r="O25" s="91">
        <f t="shared" si="2"/>
        <v>0</v>
      </c>
      <c r="P25" s="92" t="str">
        <f t="shared" si="3"/>
        <v/>
      </c>
      <c r="Q25" s="243"/>
    </row>
    <row r="26" spans="1:17" ht="15.75" customHeight="1" x14ac:dyDescent="0.3">
      <c r="A26" s="93">
        <v>6.2300000000000102</v>
      </c>
      <c r="B26" s="269"/>
      <c r="C26" s="236"/>
      <c r="D26" s="236"/>
      <c r="E26" s="236"/>
      <c r="F26" s="236"/>
      <c r="G26" s="236"/>
      <c r="H26" s="236"/>
      <c r="I26" s="90">
        <f t="shared" si="0"/>
        <v>0</v>
      </c>
      <c r="J26" s="241"/>
      <c r="K26" s="1"/>
      <c r="L26" s="243"/>
      <c r="M26" s="248" t="str">
        <f t="shared" si="1"/>
        <v/>
      </c>
      <c r="N26" s="248"/>
      <c r="O26" s="91">
        <f t="shared" si="2"/>
        <v>0</v>
      </c>
      <c r="P26" s="92" t="str">
        <f t="shared" si="3"/>
        <v/>
      </c>
      <c r="Q26" s="243"/>
    </row>
    <row r="27" spans="1:17" ht="15.75" customHeight="1" x14ac:dyDescent="0.3">
      <c r="A27" s="93">
        <v>6.24000000000001</v>
      </c>
      <c r="B27" s="269"/>
      <c r="C27" s="236"/>
      <c r="D27" s="236"/>
      <c r="E27" s="236"/>
      <c r="F27" s="236"/>
      <c r="G27" s="236"/>
      <c r="H27" s="236"/>
      <c r="I27" s="90">
        <f t="shared" si="0"/>
        <v>0</v>
      </c>
      <c r="J27" s="241"/>
      <c r="K27" s="1"/>
      <c r="L27" s="243"/>
      <c r="M27" s="248" t="str">
        <f t="shared" si="1"/>
        <v/>
      </c>
      <c r="N27" s="248"/>
      <c r="O27" s="91">
        <f t="shared" si="2"/>
        <v>0</v>
      </c>
      <c r="P27" s="92" t="str">
        <f t="shared" si="3"/>
        <v/>
      </c>
      <c r="Q27" s="243"/>
    </row>
    <row r="28" spans="1:17" ht="15.75" customHeight="1" x14ac:dyDescent="0.3">
      <c r="A28" s="93">
        <v>6.2500000000000098</v>
      </c>
      <c r="B28" s="270"/>
      <c r="C28" s="236"/>
      <c r="D28" s="236"/>
      <c r="E28" s="236"/>
      <c r="F28" s="236"/>
      <c r="G28" s="236"/>
      <c r="H28" s="236"/>
      <c r="I28" s="90">
        <f t="shared" si="0"/>
        <v>0</v>
      </c>
      <c r="J28" s="241"/>
      <c r="K28" s="1"/>
      <c r="L28" s="243"/>
      <c r="M28" s="248" t="str">
        <f t="shared" si="1"/>
        <v/>
      </c>
      <c r="N28" s="248"/>
      <c r="O28" s="91">
        <f t="shared" si="2"/>
        <v>0</v>
      </c>
      <c r="P28" s="92" t="str">
        <f t="shared" si="3"/>
        <v/>
      </c>
      <c r="Q28" s="243"/>
    </row>
    <row r="29" spans="1:17" ht="15.75" customHeight="1" x14ac:dyDescent="0.3">
      <c r="A29" s="80" t="s">
        <v>132</v>
      </c>
      <c r="B29" s="81"/>
      <c r="C29" s="81"/>
      <c r="D29" s="81"/>
      <c r="E29" s="81"/>
      <c r="F29" s="81"/>
      <c r="G29" s="81"/>
      <c r="H29" s="94"/>
      <c r="I29" s="95">
        <f>SUM(I4:I28)</f>
        <v>0</v>
      </c>
      <c r="J29" s="96"/>
      <c r="K29" s="97"/>
      <c r="L29" s="96"/>
      <c r="M29" s="98"/>
      <c r="N29" s="98"/>
      <c r="O29" s="96"/>
      <c r="P29" s="96">
        <f>SUM(P4:P28)</f>
        <v>0</v>
      </c>
      <c r="Q29" s="96" t="str">
        <f>A29</f>
        <v>סה"כ ציוד יעודי כולל מע"מ</v>
      </c>
    </row>
  </sheetData>
  <sheetProtection algorithmName="SHA-512" hashValue="8Ra9fPw5CQlnjZv9R8VPFUhimpQBKtlMXRBDD2QNZIHL5AKopBX1ZCixpcctI2SJWaG+EcD9aEhcysL9rzlPqA==" saltValue="MdQsMUlVX4BRSYEAwkeLow==" spinCount="100000" sheet="1" formatCells="0" formatColumns="0" formatRows="0"/>
  <mergeCells count="5">
    <mergeCell ref="B4:B8"/>
    <mergeCell ref="B9:B13"/>
    <mergeCell ref="B14:B18"/>
    <mergeCell ref="B19:B23"/>
    <mergeCell ref="B24:B28"/>
  </mergeCells>
  <dataValidations count="2">
    <dataValidation type="list" allowBlank="1" showErrorMessage="1" sqref="L4:L28">
      <formula1>"מאשר,מאשר חלקי,לא מאשר"</formula1>
    </dataValidation>
    <dataValidation type="list" allowBlank="1" showErrorMessage="1" sqref="N4:N28">
      <formula1>"הצעה א,הצעה ב,הצעה ג"</formula1>
    </dataValidation>
  </dataValidations>
  <pageMargins left="0.70866141732283472" right="0.70866141732283472" top="0.74803149606299213" bottom="0.7480314960629921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0"/>
  <sheetViews>
    <sheetView rightToLeft="1" workbookViewId="0"/>
  </sheetViews>
  <sheetFormatPr defaultColWidth="12.58203125" defaultRowHeight="15" customHeight="1" x14ac:dyDescent="0.3"/>
  <cols>
    <col min="1" max="1" width="2.83203125" customWidth="1"/>
    <col min="2" max="2" width="25.75" customWidth="1"/>
    <col min="3" max="3" width="20.5" customWidth="1"/>
    <col min="4" max="26" width="9.08203125" customWidth="1"/>
  </cols>
  <sheetData>
    <row r="1" spans="2:3" ht="14" x14ac:dyDescent="0.3">
      <c r="B1" s="11"/>
      <c r="C1" s="49" t="str">
        <f>פתיח!$D$11</f>
        <v xml:space="preserve">תקן הצטיידות לבריכות טיפוליות </v>
      </c>
    </row>
    <row r="2" spans="2:3" ht="14" x14ac:dyDescent="0.3">
      <c r="B2" s="11"/>
      <c r="C2" s="11"/>
    </row>
    <row r="3" spans="2:3" ht="14" x14ac:dyDescent="0.3">
      <c r="B3" s="11"/>
      <c r="C3" s="11"/>
    </row>
    <row r="4" spans="2:3" ht="14" x14ac:dyDescent="0.3">
      <c r="B4" s="11"/>
      <c r="C4" s="11"/>
    </row>
    <row r="5" spans="2:3" ht="14" x14ac:dyDescent="0.3">
      <c r="B5" s="11"/>
      <c r="C5" s="11"/>
    </row>
    <row r="6" spans="2:3" ht="14" x14ac:dyDescent="0.3">
      <c r="B6" s="11"/>
      <c r="C6" s="11"/>
    </row>
    <row r="7" spans="2:3" ht="14" x14ac:dyDescent="0.3">
      <c r="B7" s="11"/>
      <c r="C7" s="11"/>
    </row>
    <row r="8" spans="2:3" ht="14" x14ac:dyDescent="0.3">
      <c r="B8" s="11" t="s">
        <v>133</v>
      </c>
      <c r="C8" s="11"/>
    </row>
    <row r="9" spans="2:3" ht="14" x14ac:dyDescent="0.3">
      <c r="B9" s="11" t="str">
        <f>'שאלון למילוי מגיש הבקשה - חובה'!C5</f>
        <v>תאריך הגשת הבקשה</v>
      </c>
      <c r="C9" s="99">
        <f>'שאלון למילוי מגיש הבקשה - חובה'!D5</f>
        <v>0</v>
      </c>
    </row>
    <row r="10" spans="2:3" ht="14" x14ac:dyDescent="0.3">
      <c r="B10" s="11" t="str">
        <f>'שאלון למילוי מגיש הבקשה - חובה'!C7</f>
        <v>שם הגוף המבקש</v>
      </c>
      <c r="C10" s="100">
        <f>'שאלון למילוי מגיש הבקשה - חובה'!D7</f>
        <v>0</v>
      </c>
    </row>
    <row r="11" spans="2:3" ht="14" x14ac:dyDescent="0.3">
      <c r="B11" s="11" t="str">
        <f>'שאלון למילוי מגיש הבקשה - חובה'!C18</f>
        <v>שם המסגרת</v>
      </c>
      <c r="C11" s="100">
        <f>'שאלון למילוי מגיש הבקשה - חובה'!D18</f>
        <v>0</v>
      </c>
    </row>
    <row r="12" spans="2:3" ht="14" x14ac:dyDescent="0.3">
      <c r="B12" s="11"/>
      <c r="C12" s="11"/>
    </row>
    <row r="13" spans="2:3" ht="14" x14ac:dyDescent="0.3">
      <c r="B13" s="42" t="s">
        <v>134</v>
      </c>
      <c r="C13" s="223" t="s">
        <v>242</v>
      </c>
    </row>
    <row r="14" spans="2:3" ht="15" customHeight="1" x14ac:dyDescent="0.3">
      <c r="B14" s="57" t="str">
        <f>'תוכן עניינים'!C15</f>
        <v>ציוד הבריכה</v>
      </c>
      <c r="C14" s="101">
        <f>'ציוד בריכה'!I33</f>
        <v>0</v>
      </c>
    </row>
    <row r="15" spans="2:3" ht="14" x14ac:dyDescent="0.3">
      <c r="B15" s="57" t="str">
        <f>'תוכן עניינים'!C16</f>
        <v>ציוד טיפולי והידרותרפיה</v>
      </c>
      <c r="C15" s="101">
        <f>'ציוד הידרותרפיה '!I21</f>
        <v>0</v>
      </c>
    </row>
    <row r="16" spans="2:3" ht="14" x14ac:dyDescent="0.3">
      <c r="B16" s="57" t="str">
        <f>'תוכן עניינים'!C17</f>
        <v>ציוד אבחון</v>
      </c>
      <c r="C16" s="101">
        <f>'ציוד אבחון'!I10</f>
        <v>0</v>
      </c>
    </row>
    <row r="17" spans="2:3" ht="14" x14ac:dyDescent="0.3">
      <c r="B17" s="57" t="str">
        <f>'תוכן עניינים'!C18</f>
        <v>ציוד מקלחונים וחדרי שירותים</v>
      </c>
      <c r="C17" s="101">
        <f>'ציוד מקלחונים'!I31</f>
        <v>0</v>
      </c>
    </row>
    <row r="18" spans="2:3" ht="14" x14ac:dyDescent="0.3">
      <c r="B18" s="57" t="str">
        <f>'תוכן עניינים'!C19</f>
        <v>ציוד כללי</v>
      </c>
      <c r="C18" s="101">
        <f>'ציוד כללי'!I39</f>
        <v>0</v>
      </c>
    </row>
    <row r="19" spans="2:3" ht="15.75" customHeight="1" x14ac:dyDescent="0.3">
      <c r="B19" s="57" t="str">
        <f>'תוכן עניינים'!C20</f>
        <v>ציוד נוסף שלא מופיע בתקן</v>
      </c>
      <c r="C19" s="101">
        <f>'ציוד נוסף'!I29</f>
        <v>0</v>
      </c>
    </row>
    <row r="20" spans="2:3" ht="15.75" customHeight="1" x14ac:dyDescent="0.3">
      <c r="B20" s="46" t="s">
        <v>135</v>
      </c>
      <c r="C20" s="102">
        <f>SUM(C14:C19)</f>
        <v>0</v>
      </c>
    </row>
  </sheetData>
  <sheetProtection algorithmName="SHA-512" hashValue="dNkoG7fnF43V2noImel486i+K0Wsrzl1XrUbrIuo07O7FJ0gjFuXmrhZ/mdZL5c4QImJQXzNWgUkp71VkE7tsA==" saltValue="1MMuG59W5nvUyobQJuc1Mg==" spinCount="100000" sheet="1" formatCells="0" formatColumns="0" formatRows="0"/>
  <pageMargins left="0.70866141732283472" right="0.70866141732283472" top="0.74803149606299213" bottom="0.74803149606299213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rightToLeft="1" zoomScaleNormal="100" workbookViewId="0"/>
  </sheetViews>
  <sheetFormatPr defaultColWidth="12.58203125" defaultRowHeight="15" customHeight="1" x14ac:dyDescent="0.3"/>
  <cols>
    <col min="1" max="1" width="2.83203125" customWidth="1"/>
    <col min="2" max="2" width="23.25" customWidth="1"/>
    <col min="3" max="3" width="24.25" customWidth="1"/>
    <col min="4" max="4" width="17.33203125" customWidth="1"/>
    <col min="5" max="5" width="12.33203125" customWidth="1"/>
    <col min="6" max="26" width="9.08203125" customWidth="1"/>
  </cols>
  <sheetData>
    <row r="1" spans="2:5" ht="14" x14ac:dyDescent="0.3">
      <c r="B1" s="11"/>
      <c r="C1" s="49" t="str">
        <f>פתיח!$D$11</f>
        <v xml:space="preserve">תקן הצטיידות לבריכות טיפוליות </v>
      </c>
      <c r="D1" s="11"/>
      <c r="E1" s="11"/>
    </row>
    <row r="2" spans="2:5" ht="14" x14ac:dyDescent="0.3">
      <c r="B2" s="11"/>
      <c r="C2" s="11"/>
      <c r="D2" s="11"/>
      <c r="E2" s="11"/>
    </row>
    <row r="3" spans="2:5" ht="14" x14ac:dyDescent="0.3">
      <c r="B3" s="11"/>
      <c r="C3" s="11"/>
      <c r="D3" s="11"/>
      <c r="E3" s="11"/>
    </row>
    <row r="4" spans="2:5" ht="14" x14ac:dyDescent="0.3">
      <c r="B4" s="11"/>
      <c r="C4" s="11"/>
      <c r="D4" s="11"/>
      <c r="E4" s="11"/>
    </row>
    <row r="5" spans="2:5" ht="14" x14ac:dyDescent="0.3">
      <c r="B5" s="11"/>
      <c r="C5" s="11"/>
      <c r="D5" s="11"/>
      <c r="E5" s="11"/>
    </row>
    <row r="6" spans="2:5" ht="14" x14ac:dyDescent="0.3">
      <c r="B6" s="11"/>
      <c r="C6" s="11"/>
      <c r="D6" s="103" t="str">
        <f>'שאלון למילוי מגיש הבקשה - חובה'!C29</f>
        <v xml:space="preserve">דירוג סוציואקונומי של הישוב </v>
      </c>
      <c r="E6" s="224">
        <f>'שאלון למילוי מגיש הבקשה - חובה'!D29</f>
        <v>0</v>
      </c>
    </row>
    <row r="7" spans="2:5" ht="14" x14ac:dyDescent="0.3">
      <c r="B7" s="11"/>
      <c r="C7" s="11"/>
      <c r="D7" s="103" t="str">
        <f>'שאלון למילוי מגיש הבקשה - חובה'!C31</f>
        <v>קו עימות</v>
      </c>
      <c r="E7" s="224">
        <f>'שאלון למילוי מגיש הבקשה - חובה'!D31</f>
        <v>0</v>
      </c>
    </row>
    <row r="8" spans="2:5" x14ac:dyDescent="0.3">
      <c r="B8" s="11" t="s">
        <v>133</v>
      </c>
      <c r="C8" s="11"/>
      <c r="D8" s="104" t="s">
        <v>137</v>
      </c>
      <c r="E8" s="249">
        <v>700000</v>
      </c>
    </row>
    <row r="9" spans="2:5" ht="14" x14ac:dyDescent="0.3">
      <c r="B9" s="11" t="str">
        <f>'שאלון למילוי מגיש הבקשה - חובה'!C5</f>
        <v>תאריך הגשת הבקשה</v>
      </c>
      <c r="C9" s="99">
        <f>'שאלון למילוי מגיש הבקשה - חובה'!D5</f>
        <v>0</v>
      </c>
      <c r="D9" s="11"/>
      <c r="E9" s="11"/>
    </row>
    <row r="10" spans="2:5" ht="14" x14ac:dyDescent="0.3">
      <c r="B10" s="11" t="str">
        <f>'שאלון למילוי מגיש הבקשה - חובה'!C7</f>
        <v>שם הגוף המבקש</v>
      </c>
      <c r="C10" s="100">
        <f>'שאלון למילוי מגיש הבקשה - חובה'!D7</f>
        <v>0</v>
      </c>
      <c r="D10" s="11"/>
      <c r="E10" s="11"/>
    </row>
    <row r="11" spans="2:5" ht="14" x14ac:dyDescent="0.3">
      <c r="B11" s="11" t="str">
        <f>'שאלון למילוי מגיש הבקשה - חובה'!C18</f>
        <v>שם המסגרת</v>
      </c>
      <c r="C11" s="100">
        <f>'שאלון למילוי מגיש הבקשה - חובה'!D18</f>
        <v>0</v>
      </c>
      <c r="D11" s="11"/>
      <c r="E11" s="11"/>
    </row>
    <row r="12" spans="2:5" ht="14" x14ac:dyDescent="0.3">
      <c r="B12" s="11"/>
      <c r="C12" s="11"/>
      <c r="D12" s="11"/>
      <c r="E12" s="11"/>
    </row>
    <row r="13" spans="2:5" ht="28" x14ac:dyDescent="0.3">
      <c r="B13" s="42" t="s">
        <v>134</v>
      </c>
      <c r="C13" s="223" t="s">
        <v>243</v>
      </c>
      <c r="D13" s="11"/>
      <c r="E13" s="11"/>
    </row>
    <row r="14" spans="2:5" ht="15" customHeight="1" x14ac:dyDescent="0.3">
      <c r="B14" s="57" t="str">
        <f>'תוכן עניינים'!C15</f>
        <v>ציוד הבריכה</v>
      </c>
      <c r="C14" s="101">
        <f>'ציוד בריכה'!O33</f>
        <v>0</v>
      </c>
      <c r="D14" s="11"/>
      <c r="E14" s="11"/>
    </row>
    <row r="15" spans="2:5" ht="14" x14ac:dyDescent="0.3">
      <c r="B15" s="57" t="str">
        <f>'תוכן עניינים'!C16</f>
        <v>ציוד טיפולי והידרותרפיה</v>
      </c>
      <c r="C15" s="101">
        <f>'ציוד הידרותרפיה '!O21</f>
        <v>0</v>
      </c>
      <c r="D15" s="11"/>
    </row>
    <row r="16" spans="2:5" ht="14" x14ac:dyDescent="0.3">
      <c r="B16" s="57" t="str">
        <f>'תוכן עניינים'!C17</f>
        <v>ציוד אבחון</v>
      </c>
      <c r="C16" s="101">
        <f>'ציוד אבחון'!O10</f>
        <v>0</v>
      </c>
      <c r="D16" s="11"/>
    </row>
    <row r="17" spans="2:4" ht="14" x14ac:dyDescent="0.3">
      <c r="B17" s="57" t="str">
        <f>'תוכן עניינים'!C18</f>
        <v>ציוד מקלחונים וחדרי שירותים</v>
      </c>
      <c r="C17" s="101">
        <f>'ציוד מקלחונים'!O31</f>
        <v>0</v>
      </c>
      <c r="D17" s="11"/>
    </row>
    <row r="18" spans="2:4" ht="14" x14ac:dyDescent="0.3">
      <c r="B18" s="57" t="str">
        <f>'תוכן עניינים'!C19</f>
        <v>ציוד כללי</v>
      </c>
      <c r="C18" s="101">
        <f>'ציוד כללי'!O39</f>
        <v>0</v>
      </c>
      <c r="D18" s="11"/>
    </row>
    <row r="19" spans="2:4" ht="15.75" customHeight="1" x14ac:dyDescent="0.3">
      <c r="B19" s="57" t="str">
        <f>'תוכן עניינים'!C20</f>
        <v>ציוד נוסף שלא מופיע בתקן</v>
      </c>
      <c r="C19" s="101">
        <f>'ציוד נוסף'!P29</f>
        <v>0</v>
      </c>
      <c r="D19" s="11"/>
    </row>
    <row r="20" spans="2:4" ht="15.75" customHeight="1" x14ac:dyDescent="0.3">
      <c r="B20" s="46" t="s">
        <v>135</v>
      </c>
      <c r="C20" s="102">
        <f>SUM(C14:C19)</f>
        <v>0</v>
      </c>
      <c r="D20" s="11"/>
    </row>
    <row r="21" spans="2:4" ht="15.75" customHeight="1" x14ac:dyDescent="0.3">
      <c r="B21" s="11"/>
      <c r="C21" s="11"/>
      <c r="D21" s="11"/>
    </row>
    <row r="22" spans="2:4" ht="15.75" customHeight="1" x14ac:dyDescent="0.3">
      <c r="B22" s="11" t="s">
        <v>138</v>
      </c>
      <c r="C22" s="11"/>
      <c r="D22" s="11"/>
    </row>
    <row r="23" spans="2:4" ht="15.75" customHeight="1" x14ac:dyDescent="0.3">
      <c r="B23" s="57" t="s">
        <v>139</v>
      </c>
      <c r="C23" s="57" t="s">
        <v>140</v>
      </c>
      <c r="D23" s="105" t="s">
        <v>141</v>
      </c>
    </row>
    <row r="24" spans="2:4" ht="15.75" customHeight="1" x14ac:dyDescent="0.3">
      <c r="B24" s="42" t="s">
        <v>142</v>
      </c>
      <c r="C24" s="106">
        <f>IF(E7="כן",90%,IF(E6&lt;=4,90%,IF(E6&lt;8,80%,70%)))</f>
        <v>0.9</v>
      </c>
      <c r="D24" s="105">
        <f t="shared" ref="D24:D25" si="0">$C$20*C24</f>
        <v>0</v>
      </c>
    </row>
    <row r="25" spans="2:4" ht="15.75" customHeight="1" x14ac:dyDescent="0.3">
      <c r="B25" s="57" t="s">
        <v>143</v>
      </c>
      <c r="C25" s="106">
        <f>100%-C24</f>
        <v>9.9999999999999978E-2</v>
      </c>
      <c r="D25" s="105">
        <f t="shared" si="0"/>
        <v>0</v>
      </c>
    </row>
    <row r="26" spans="2:4" ht="15.75" customHeight="1" x14ac:dyDescent="0.3">
      <c r="B26" s="57" t="s">
        <v>144</v>
      </c>
      <c r="C26" s="106">
        <f t="shared" ref="C26:D26" si="1">SUM(C24:C25)</f>
        <v>1</v>
      </c>
      <c r="D26" s="105">
        <f t="shared" si="1"/>
        <v>0</v>
      </c>
    </row>
    <row r="27" spans="2:4" ht="15.75" customHeight="1" x14ac:dyDescent="0.3">
      <c r="B27" s="11"/>
      <c r="C27" s="11"/>
      <c r="D27" s="11"/>
    </row>
    <row r="28" spans="2:4" ht="15.75" customHeight="1" x14ac:dyDescent="0.3">
      <c r="B28" s="11" t="s">
        <v>145</v>
      </c>
      <c r="C28" s="11"/>
      <c r="D28" s="11"/>
    </row>
    <row r="29" spans="2:4" ht="15.75" customHeight="1" x14ac:dyDescent="0.3">
      <c r="B29" s="57" t="s">
        <v>139</v>
      </c>
      <c r="C29" s="57" t="s">
        <v>140</v>
      </c>
      <c r="D29" s="105" t="s">
        <v>141</v>
      </c>
    </row>
    <row r="30" spans="2:4" ht="15.75" customHeight="1" x14ac:dyDescent="0.3">
      <c r="B30" s="42" t="s">
        <v>146</v>
      </c>
      <c r="C30" s="106" t="str">
        <f t="shared" ref="C30:C31" si="2">IF($D$30=0,"",IF($D$24&lt;$D$30,"",D30/C$20))</f>
        <v/>
      </c>
      <c r="D30" s="105">
        <f>E8</f>
        <v>700000</v>
      </c>
    </row>
    <row r="31" spans="2:4" ht="15.75" customHeight="1" x14ac:dyDescent="0.3">
      <c r="B31" s="57" t="s">
        <v>143</v>
      </c>
      <c r="C31" s="106" t="str">
        <f t="shared" si="2"/>
        <v/>
      </c>
      <c r="D31" s="105" t="str">
        <f>IF($D$24&lt;$D$30,"",(D32-D30))</f>
        <v/>
      </c>
    </row>
    <row r="32" spans="2:4" ht="15.75" customHeight="1" x14ac:dyDescent="0.3">
      <c r="B32" s="57" t="s">
        <v>144</v>
      </c>
      <c r="C32" s="106" t="str">
        <f>IF($D$24&lt;$D$30,"",SUM(C30:C31))</f>
        <v/>
      </c>
      <c r="D32" s="105" t="str">
        <f>IF($D$24&lt;$D$30,"",C20)</f>
        <v/>
      </c>
    </row>
    <row r="33" spans="2:4" ht="15.75" customHeight="1" x14ac:dyDescent="0.3">
      <c r="B33" s="11"/>
      <c r="C33" s="107"/>
      <c r="D33" s="108"/>
    </row>
    <row r="34" spans="2:4" ht="15.75" customHeight="1" x14ac:dyDescent="0.35">
      <c r="B34" s="109" t="s">
        <v>147</v>
      </c>
      <c r="C34" s="11"/>
      <c r="D34" s="11"/>
    </row>
    <row r="35" spans="2:4" ht="15.75" customHeight="1" x14ac:dyDescent="0.35">
      <c r="B35" s="109" t="s">
        <v>148</v>
      </c>
      <c r="C35" s="110"/>
      <c r="D35" s="110"/>
    </row>
    <row r="36" spans="2:4" ht="15.75" customHeight="1" x14ac:dyDescent="0.3">
      <c r="B36" s="46" t="s">
        <v>139</v>
      </c>
      <c r="C36" s="46" t="s">
        <v>140</v>
      </c>
      <c r="D36" s="111" t="s">
        <v>141</v>
      </c>
    </row>
    <row r="37" spans="2:4" ht="15.75" customHeight="1" x14ac:dyDescent="0.3">
      <c r="B37" s="86" t="s">
        <v>149</v>
      </c>
      <c r="C37" s="112" t="str">
        <f t="shared" ref="C37:C38" si="3">IF(D37=0,"",D37/C$20)</f>
        <v/>
      </c>
      <c r="D37" s="111">
        <f>MIN(D24,D30)</f>
        <v>0</v>
      </c>
    </row>
    <row r="38" spans="2:4" ht="15.75" customHeight="1" x14ac:dyDescent="0.3">
      <c r="B38" s="46" t="s">
        <v>143</v>
      </c>
      <c r="C38" s="112" t="str">
        <f t="shared" si="3"/>
        <v/>
      </c>
      <c r="D38" s="111">
        <f>D39-D37</f>
        <v>0</v>
      </c>
    </row>
    <row r="39" spans="2:4" ht="15.75" customHeight="1" x14ac:dyDescent="0.3">
      <c r="B39" s="46" t="s">
        <v>144</v>
      </c>
      <c r="C39" s="112" t="str">
        <f>IF(D39=0,"",SUM(C37:C38))</f>
        <v/>
      </c>
      <c r="D39" s="111">
        <f>C20</f>
        <v>0</v>
      </c>
    </row>
  </sheetData>
  <sheetProtection algorithmName="SHA-512" hashValue="+TDFMt5IedmkTQvPaKlUE9aiXWMjXiS/064BBmuWxeP71GImwGeQIXw9ohn38//L9oM3+SL3J7Kd0IPhEjT4YQ==" saltValue="olW4RXtSp46sfjD6z3E7fg==" spinCount="100000" sheet="1" formatCells="0" formatColumns="0" formatRows="0"/>
  <pageMargins left="0.70866141732283472" right="0.70866141732283472" top="0.74803149606299213" bottom="0.74803149606299213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4E3F86D58734C7AA1EEF000005FC8B6" ma:contentTypeVersion="1" ma:contentTypeDescription="צור מסמך חדש." ma:contentTypeScope="" ma:versionID="ae5ff37499b070873e287761911273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EB5353-10F2-4F22-808E-ECA66C6EA1B6}"/>
</file>

<file path=customXml/itemProps2.xml><?xml version="1.0" encoding="utf-8"?>
<ds:datastoreItem xmlns:ds="http://schemas.openxmlformats.org/officeDocument/2006/customXml" ds:itemID="{694F99D1-6F8A-4132-B9DC-D642415A1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פתיח</vt:lpstr>
      <vt:lpstr>שאלון למילוי מגיש הבקשה - חובה</vt:lpstr>
      <vt:lpstr>תוכן עניינים</vt:lpstr>
      <vt:lpstr>ציוד בריכה</vt:lpstr>
      <vt:lpstr>ציוד הידרותרפיה </vt:lpstr>
      <vt:lpstr>ציוד אבחון</vt:lpstr>
      <vt:lpstr>ציוד מקלחונים</vt:lpstr>
      <vt:lpstr>ציוד כללי</vt:lpstr>
      <vt:lpstr>ציוד נוסף</vt:lpstr>
      <vt:lpstr>סיכום בקשת הגוף</vt:lpstr>
      <vt:lpstr>סיכום לוועדה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Vadim</dc:creator>
  <cp:lastModifiedBy>חיה פישגרונד שורץ</cp:lastModifiedBy>
  <cp:lastPrinted>2025-04-14T04:52:50Z</cp:lastPrinted>
  <dcterms:created xsi:type="dcterms:W3CDTF">2019-05-20T06:27:29Z</dcterms:created>
  <dcterms:modified xsi:type="dcterms:W3CDTF">2025-05-26T09:45:49Z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964004864</vt:i4>
  </property>
  <property fmtid="{D5CDD505-2E9C-101B-9397-08002B2CF9AE}" pid="4" name="_EmailSubject">
    <vt:lpwstr>תקן- העברה לפנימי</vt:lpwstr>
  </property>
  <property fmtid="{D5CDD505-2E9C-101B-9397-08002B2CF9AE}" pid="5" name="_AuthorEmail">
    <vt:lpwstr>tamar_lazar@snifim.blroot</vt:lpwstr>
  </property>
  <property fmtid="{D5CDD505-2E9C-101B-9397-08002B2CF9AE}" pid="6" name="_AuthorEmailDisplayName">
    <vt:lpwstr>תמר לזר</vt:lpwstr>
  </property>
  <property fmtid="{D5CDD505-2E9C-101B-9397-08002B2CF9AE}" pid="7" name="_ReviewingToolsShownOnce">
    <vt:lpwstr/>
  </property>
  <property fmtid="{D5CDD505-2E9C-101B-9397-08002B2CF9AE}" pid="8" name="ContentTypeId">
    <vt:lpwstr>0x01010074E3F86D58734C7AA1EEF000005FC8B6</vt:lpwstr>
  </property>
  <property fmtid="{D5CDD505-2E9C-101B-9397-08002B2CF9AE}" pid="9" name="Order">
    <vt:r8>9800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