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i\Documents\מסמכים מטי\ביטוח לאומי\תקן ציוד- מרכזי יום לבוגרים\תקן ציוד-גירסאות  חודשים 7-12    2023\"/>
    </mc:Choice>
  </mc:AlternateContent>
  <xr:revisionPtr revIDLastSave="0" documentId="13_ncr:1_{50EAC535-0C9B-46D7-A27C-356FAF85764B}" xr6:coauthVersionLast="36" xr6:coauthVersionMax="36" xr10:uidLastSave="{00000000-0000-0000-0000-000000000000}"/>
  <bookViews>
    <workbookView xWindow="0" yWindow="0" windowWidth="23040" windowHeight="8532" tabRatio="679" firstSheet="1" activeTab="3" xr2:uid="{00000000-000D-0000-FFFF-FFFF00000000}"/>
  </bookViews>
  <sheets>
    <sheet name="תקן ציוד - הנחיות להגשת הבקשה" sheetId="25" r:id="rId1"/>
    <sheet name="שאלון למילוי מגיש הבקשה - חובה" sheetId="22" r:id="rId2"/>
    <sheet name="קטגוריה א - ציוד לחדרי קבוצות" sheetId="20" r:id="rId3"/>
    <sheet name="קטגוריה ב - ציוד כללי" sheetId="14" r:id="rId4"/>
    <sheet name="קטגוריה ג -מטבח וחדר אוכל" sheetId="18" r:id="rId5"/>
    <sheet name="סיכום לוועדה" sheetId="24" r:id="rId6"/>
    <sheet name="סיכום מפורט" sheetId="27" state="hidden" r:id="rId7"/>
  </sheets>
  <externalReferences>
    <externalReference r:id="rId8"/>
  </externalReferences>
  <definedNames>
    <definedName name="BedroomType" localSheetId="6">#REF!</definedName>
    <definedName name="BedroomType" localSheetId="0">#REF!</definedName>
    <definedName name="BedroomType">#REF!</definedName>
  </definedNames>
  <calcPr calcId="191029"/>
</workbook>
</file>

<file path=xl/calcChain.xml><?xml version="1.0" encoding="utf-8"?>
<calcChain xmlns="http://schemas.openxmlformats.org/spreadsheetml/2006/main">
  <c r="D35" i="14" l="1"/>
  <c r="E8" i="27" l="1"/>
  <c r="D7" i="27" l="1"/>
  <c r="D7" i="24"/>
  <c r="D30" i="27" l="1"/>
  <c r="B17" i="27"/>
  <c r="B16" i="27"/>
  <c r="C13" i="27"/>
  <c r="C12" i="27"/>
  <c r="C11" i="27"/>
  <c r="B11" i="27"/>
  <c r="C10" i="27"/>
  <c r="C9" i="27"/>
  <c r="E7" i="27"/>
  <c r="C24" i="27" s="1"/>
  <c r="E6" i="27"/>
  <c r="C25" i="27" l="1"/>
  <c r="C26" i="27" s="1"/>
  <c r="E7" i="24" l="1"/>
  <c r="D41" i="18" l="1"/>
  <c r="D40" i="18"/>
  <c r="D39" i="18"/>
  <c r="D37" i="18"/>
  <c r="D24" i="18"/>
  <c r="D20" i="18"/>
  <c r="D18" i="18"/>
  <c r="D16" i="18"/>
  <c r="D15" i="18"/>
  <c r="D14" i="18"/>
  <c r="D13" i="18"/>
  <c r="C66" i="18"/>
  <c r="C55" i="18"/>
  <c r="C53" i="18"/>
  <c r="C27" i="18"/>
  <c r="C25" i="18"/>
  <c r="C23" i="18"/>
  <c r="C22" i="18"/>
  <c r="D46" i="14"/>
  <c r="D45" i="14"/>
  <c r="D40" i="14"/>
  <c r="D29" i="14"/>
  <c r="D24" i="14"/>
  <c r="C59" i="14"/>
  <c r="C58" i="14"/>
  <c r="C34" i="14"/>
  <c r="C22" i="14"/>
  <c r="C14" i="14"/>
  <c r="C13" i="14"/>
  <c r="N25" i="14" l="1"/>
  <c r="J25" i="14"/>
  <c r="N47" i="20"/>
  <c r="N31" i="20"/>
  <c r="C23" i="14" l="1"/>
  <c r="B64" i="14" l="1"/>
  <c r="C17" i="20"/>
  <c r="B70" i="18" l="1"/>
  <c r="C4" i="18"/>
  <c r="B4" i="18"/>
  <c r="C3" i="18"/>
  <c r="B3" i="18"/>
  <c r="C2" i="18"/>
  <c r="B2" i="18"/>
  <c r="C1" i="18"/>
  <c r="B1" i="18"/>
  <c r="C4" i="14"/>
  <c r="B4" i="14"/>
  <c r="C3" i="14"/>
  <c r="B3" i="14"/>
  <c r="C2" i="14"/>
  <c r="B2" i="14"/>
  <c r="C1" i="14"/>
  <c r="B1" i="14"/>
  <c r="C2" i="20"/>
  <c r="B2" i="20"/>
  <c r="C1" i="20"/>
  <c r="B1" i="20"/>
  <c r="B50" i="20"/>
  <c r="C4" i="20"/>
  <c r="C3" i="20"/>
  <c r="B4" i="20"/>
  <c r="B3" i="20"/>
  <c r="G65" i="18" l="1"/>
  <c r="O65" i="18" s="1"/>
  <c r="C65" i="18"/>
  <c r="E65" i="18" s="1"/>
  <c r="D52" i="14"/>
  <c r="D51" i="14"/>
  <c r="P65" i="18" l="1"/>
  <c r="H65" i="18"/>
  <c r="C19" i="20"/>
  <c r="B7" i="18" l="1"/>
  <c r="B8" i="18"/>
  <c r="B7" i="14"/>
  <c r="B8" i="14"/>
  <c r="B6" i="14"/>
  <c r="D26" i="18" l="1"/>
  <c r="D57" i="18" l="1"/>
  <c r="C63" i="18" l="1"/>
  <c r="C13" i="20"/>
  <c r="C64" i="18"/>
  <c r="C46" i="20"/>
  <c r="C45" i="20"/>
  <c r="C44" i="20"/>
  <c r="C43" i="20"/>
  <c r="C42" i="20"/>
  <c r="C41" i="20"/>
  <c r="C36" i="20"/>
  <c r="C35" i="20"/>
  <c r="C30" i="20"/>
  <c r="C29" i="20"/>
  <c r="C28" i="20"/>
  <c r="C23" i="20"/>
  <c r="C22" i="20"/>
  <c r="C21" i="20"/>
  <c r="C20" i="20"/>
  <c r="C18" i="20"/>
  <c r="C16" i="20"/>
  <c r="C15" i="20"/>
  <c r="C14" i="20"/>
  <c r="E6" i="24" l="1"/>
  <c r="C13" i="24"/>
  <c r="C12" i="24"/>
  <c r="C11" i="24"/>
  <c r="C10" i="24"/>
  <c r="C9" i="24"/>
  <c r="B17" i="24"/>
  <c r="B16" i="24"/>
  <c r="D30" i="24"/>
  <c r="B11" i="24"/>
  <c r="C24" i="24" l="1"/>
  <c r="C25" i="24" s="1"/>
  <c r="C26" i="24" s="1"/>
  <c r="O64" i="18" l="1"/>
  <c r="O59" i="14"/>
  <c r="O58" i="14"/>
  <c r="O57" i="14"/>
  <c r="O52" i="14"/>
  <c r="O51" i="14"/>
  <c r="O46" i="14"/>
  <c r="O45" i="14"/>
  <c r="O44" i="14"/>
  <c r="O43" i="14"/>
  <c r="O42" i="14"/>
  <c r="O41" i="14"/>
  <c r="O40" i="14"/>
  <c r="O29" i="14"/>
  <c r="O24" i="14"/>
  <c r="O23" i="14"/>
  <c r="O22" i="14"/>
  <c r="B6" i="18" l="1"/>
  <c r="P50" i="20"/>
  <c r="O50" i="20"/>
  <c r="N50" i="20"/>
  <c r="J50" i="20"/>
  <c r="G50" i="20"/>
  <c r="E5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A27" i="20"/>
  <c r="B63" i="14" l="1"/>
  <c r="B62" i="14"/>
  <c r="B49" i="20"/>
  <c r="H14" i="20"/>
  <c r="J60" i="14" l="1"/>
  <c r="J53" i="14"/>
  <c r="J47" i="14"/>
  <c r="J36" i="14"/>
  <c r="J28" i="18"/>
  <c r="J67" i="18"/>
  <c r="J59" i="18"/>
  <c r="N60" i="14"/>
  <c r="N53" i="14"/>
  <c r="N47" i="14"/>
  <c r="N15" i="14"/>
  <c r="J15" i="14"/>
  <c r="J47" i="20"/>
  <c r="J37" i="20"/>
  <c r="J31" i="20"/>
  <c r="J24" i="20"/>
  <c r="J72" i="18" l="1"/>
  <c r="J71" i="18"/>
  <c r="J64" i="14"/>
  <c r="P63" i="14"/>
  <c r="O63" i="14"/>
  <c r="N63" i="14"/>
  <c r="J63" i="14"/>
  <c r="J51" i="20"/>
  <c r="J73" i="18" l="1"/>
  <c r="J74" i="18" s="1"/>
  <c r="H14" i="14"/>
  <c r="H58" i="18" l="1"/>
  <c r="H57" i="18"/>
  <c r="H56" i="18"/>
  <c r="H54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8" i="18"/>
  <c r="H37" i="18"/>
  <c r="H36" i="18"/>
  <c r="H35" i="18"/>
  <c r="H34" i="18"/>
  <c r="H33" i="18"/>
  <c r="H26" i="18"/>
  <c r="H24" i="18"/>
  <c r="H22" i="18"/>
  <c r="H21" i="18"/>
  <c r="H20" i="18"/>
  <c r="H19" i="18"/>
  <c r="H18" i="18"/>
  <c r="H17" i="18"/>
  <c r="H16" i="18"/>
  <c r="H15" i="18"/>
  <c r="H14" i="18"/>
  <c r="H57" i="14"/>
  <c r="H52" i="14"/>
  <c r="H51" i="14"/>
  <c r="H46" i="14"/>
  <c r="H44" i="14"/>
  <c r="H43" i="14"/>
  <c r="H42" i="14"/>
  <c r="H41" i="14"/>
  <c r="H40" i="14"/>
  <c r="H33" i="14"/>
  <c r="H24" i="14"/>
  <c r="H23" i="14"/>
  <c r="H59" i="14"/>
  <c r="H22" i="14"/>
  <c r="H45" i="14"/>
  <c r="H34" i="14"/>
  <c r="H35" i="14"/>
  <c r="H13" i="14"/>
  <c r="H39" i="18"/>
  <c r="H13" i="18"/>
  <c r="H41" i="20"/>
  <c r="G46" i="20"/>
  <c r="O46" i="20" s="1"/>
  <c r="H46" i="20"/>
  <c r="G45" i="20"/>
  <c r="E45" i="20"/>
  <c r="G44" i="20"/>
  <c r="H44" i="20"/>
  <c r="G43" i="20"/>
  <c r="E43" i="20"/>
  <c r="G42" i="20"/>
  <c r="H42" i="20"/>
  <c r="G41" i="20"/>
  <c r="O41" i="20" s="1"/>
  <c r="E41" i="20"/>
  <c r="H37" i="20"/>
  <c r="G36" i="20"/>
  <c r="E36" i="20"/>
  <c r="G35" i="20"/>
  <c r="H35" i="20"/>
  <c r="H31" i="20"/>
  <c r="G30" i="20"/>
  <c r="H30" i="20"/>
  <c r="G29" i="20"/>
  <c r="E29" i="20"/>
  <c r="G28" i="20"/>
  <c r="O28" i="20" s="1"/>
  <c r="H28" i="20"/>
  <c r="G23" i="20"/>
  <c r="D22" i="20"/>
  <c r="G22" i="20" s="1"/>
  <c r="H22" i="20"/>
  <c r="G21" i="20"/>
  <c r="H21" i="20"/>
  <c r="G20" i="20"/>
  <c r="G19" i="20"/>
  <c r="H19" i="20"/>
  <c r="G18" i="20"/>
  <c r="G17" i="20"/>
  <c r="H17" i="20"/>
  <c r="G16" i="20"/>
  <c r="G15" i="20"/>
  <c r="H15" i="20"/>
  <c r="G14" i="20"/>
  <c r="O14" i="20" s="1"/>
  <c r="E14" i="20"/>
  <c r="G13" i="20"/>
  <c r="O13" i="20" s="1"/>
  <c r="H13" i="20"/>
  <c r="O19" i="20" l="1"/>
  <c r="P19" i="20" s="1"/>
  <c r="O17" i="20"/>
  <c r="P17" i="20" s="1"/>
  <c r="O20" i="20"/>
  <c r="P20" i="20" s="1"/>
  <c r="O22" i="20"/>
  <c r="P22" i="20" s="1"/>
  <c r="O15" i="20"/>
  <c r="P15" i="20" s="1"/>
  <c r="O18" i="20"/>
  <c r="P18" i="20" s="1"/>
  <c r="O16" i="20"/>
  <c r="P16" i="20" s="1"/>
  <c r="O21" i="20"/>
  <c r="P21" i="20" s="1"/>
  <c r="O36" i="20"/>
  <c r="P36" i="20" s="1"/>
  <c r="O43" i="20"/>
  <c r="P43" i="20" s="1"/>
  <c r="O45" i="20"/>
  <c r="P45" i="20" s="1"/>
  <c r="O42" i="20"/>
  <c r="O44" i="20"/>
  <c r="P44" i="20" s="1"/>
  <c r="G37" i="20"/>
  <c r="O35" i="20"/>
  <c r="O30" i="20"/>
  <c r="P30" i="20" s="1"/>
  <c r="O29" i="20"/>
  <c r="O23" i="20"/>
  <c r="P23" i="20" s="1"/>
  <c r="G31" i="20"/>
  <c r="P46" i="20"/>
  <c r="E23" i="20"/>
  <c r="H23" i="20"/>
  <c r="E18" i="20"/>
  <c r="H18" i="20"/>
  <c r="E16" i="20"/>
  <c r="H16" i="20"/>
  <c r="E20" i="20"/>
  <c r="H20" i="20"/>
  <c r="P41" i="20"/>
  <c r="G47" i="20"/>
  <c r="H43" i="20"/>
  <c r="H29" i="20"/>
  <c r="H45" i="20"/>
  <c r="E22" i="20"/>
  <c r="H36" i="20"/>
  <c r="P13" i="20"/>
  <c r="E13" i="20"/>
  <c r="E15" i="20"/>
  <c r="E17" i="20"/>
  <c r="E19" i="20"/>
  <c r="E21" i="20"/>
  <c r="E28" i="20"/>
  <c r="P28" i="20"/>
  <c r="E30" i="20"/>
  <c r="E35" i="20"/>
  <c r="E37" i="20" s="1"/>
  <c r="E42" i="20"/>
  <c r="E44" i="20"/>
  <c r="E46" i="20"/>
  <c r="G24" i="20"/>
  <c r="P14" i="20"/>
  <c r="O37" i="20" l="1"/>
  <c r="P37" i="20" s="1"/>
  <c r="O31" i="20"/>
  <c r="P31" i="20" s="1"/>
  <c r="O47" i="20"/>
  <c r="P35" i="20"/>
  <c r="N24" i="20"/>
  <c r="N37" i="20"/>
  <c r="P47" i="20"/>
  <c r="P42" i="20"/>
  <c r="P29" i="20"/>
  <c r="G51" i="20"/>
  <c r="C16" i="27" s="1"/>
  <c r="E47" i="20"/>
  <c r="E24" i="20"/>
  <c r="O24" i="20"/>
  <c r="E31" i="20"/>
  <c r="N51" i="20" l="1"/>
  <c r="O51" i="20"/>
  <c r="P51" i="20" s="1"/>
  <c r="C16" i="24"/>
  <c r="E51" i="20"/>
  <c r="P24" i="20"/>
  <c r="H63" i="18"/>
  <c r="H58" i="14"/>
  <c r="H53" i="18" l="1"/>
  <c r="H55" i="18"/>
  <c r="H27" i="18" l="1"/>
  <c r="H25" i="18"/>
  <c r="H23" i="18"/>
  <c r="G66" i="18" l="1"/>
  <c r="G64" i="18"/>
  <c r="P64" i="18" s="1"/>
  <c r="G63" i="18"/>
  <c r="G58" i="18"/>
  <c r="G57" i="18"/>
  <c r="G56" i="18"/>
  <c r="G55" i="18"/>
  <c r="G53" i="18"/>
  <c r="G47" i="18"/>
  <c r="G43" i="18"/>
  <c r="G41" i="18"/>
  <c r="G40" i="18"/>
  <c r="G39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13" i="18"/>
  <c r="O60" i="14"/>
  <c r="H66" i="18"/>
  <c r="H64" i="18"/>
  <c r="O66" i="18" l="1"/>
  <c r="P66" i="18" s="1"/>
  <c r="O63" i="18"/>
  <c r="N67" i="18"/>
  <c r="O25" i="18"/>
  <c r="P25" i="18" s="1"/>
  <c r="N28" i="18"/>
  <c r="O41" i="18"/>
  <c r="P41" i="18" s="1"/>
  <c r="P53" i="18"/>
  <c r="O53" i="18"/>
  <c r="O55" i="18"/>
  <c r="P55" i="18" s="1"/>
  <c r="P43" i="18"/>
  <c r="O43" i="18"/>
  <c r="O56" i="18"/>
  <c r="P56" i="18" s="1"/>
  <c r="O40" i="18"/>
  <c r="P40" i="18" s="1"/>
  <c r="P58" i="18"/>
  <c r="O58" i="18"/>
  <c r="O39" i="18"/>
  <c r="P39" i="18" s="1"/>
  <c r="P47" i="18"/>
  <c r="O47" i="18"/>
  <c r="O57" i="18"/>
  <c r="P57" i="18" s="1"/>
  <c r="O16" i="18"/>
  <c r="P16" i="18" s="1"/>
  <c r="O27" i="18"/>
  <c r="P27" i="18" s="1"/>
  <c r="O15" i="18"/>
  <c r="P15" i="18" s="1"/>
  <c r="O24" i="18"/>
  <c r="P24" i="18" s="1"/>
  <c r="O23" i="18"/>
  <c r="P23" i="18" s="1"/>
  <c r="O26" i="18"/>
  <c r="P26" i="18" s="1"/>
  <c r="O22" i="18"/>
  <c r="P22" i="18" s="1"/>
  <c r="O18" i="18"/>
  <c r="O14" i="18"/>
  <c r="P14" i="18" s="1"/>
  <c r="O20" i="18"/>
  <c r="P20" i="18" s="1"/>
  <c r="O19" i="18"/>
  <c r="P19" i="18" s="1"/>
  <c r="O21" i="18"/>
  <c r="P21" i="18" s="1"/>
  <c r="O17" i="18"/>
  <c r="P17" i="18" s="1"/>
  <c r="P63" i="18"/>
  <c r="G67" i="18"/>
  <c r="O47" i="14"/>
  <c r="G28" i="18"/>
  <c r="O25" i="14"/>
  <c r="O53" i="14"/>
  <c r="E66" i="18"/>
  <c r="E64" i="18"/>
  <c r="E63" i="18"/>
  <c r="O67" i="18" l="1"/>
  <c r="P67" i="18" s="1"/>
  <c r="N71" i="18"/>
  <c r="O13" i="18"/>
  <c r="P13" i="18" s="1"/>
  <c r="G71" i="18"/>
  <c r="C18" i="27" s="1"/>
  <c r="P18" i="18"/>
  <c r="E67" i="18"/>
  <c r="E39" i="18"/>
  <c r="E40" i="18"/>
  <c r="E41" i="18"/>
  <c r="E43" i="18"/>
  <c r="E47" i="18"/>
  <c r="E53" i="18"/>
  <c r="E55" i="18"/>
  <c r="E56" i="18"/>
  <c r="E57" i="18"/>
  <c r="E58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13" i="18"/>
  <c r="E59" i="14"/>
  <c r="E58" i="14"/>
  <c r="E57" i="14"/>
  <c r="E46" i="14"/>
  <c r="E45" i="14"/>
  <c r="E44" i="14"/>
  <c r="E43" i="14"/>
  <c r="E42" i="14"/>
  <c r="E41" i="14"/>
  <c r="E40" i="14"/>
  <c r="E35" i="14"/>
  <c r="E34" i="14"/>
  <c r="E33" i="14"/>
  <c r="O28" i="18" l="1"/>
  <c r="P28" i="18" s="1"/>
  <c r="O71" i="18"/>
  <c r="C18" i="24"/>
  <c r="E60" i="14"/>
  <c r="E47" i="14"/>
  <c r="E36" i="14"/>
  <c r="E28" i="18"/>
  <c r="E71" i="18" s="1"/>
  <c r="H29" i="14" l="1"/>
  <c r="E24" i="14"/>
  <c r="E23" i="14"/>
  <c r="E22" i="14"/>
  <c r="E14" i="14"/>
  <c r="E13" i="14"/>
  <c r="E25" i="14" l="1"/>
  <c r="E15" i="14"/>
  <c r="E29" i="14"/>
  <c r="E52" i="14" l="1"/>
  <c r="E51" i="14"/>
  <c r="E53" i="14" l="1"/>
  <c r="E64" i="14" s="1"/>
  <c r="E37" i="18"/>
  <c r="G37" i="18"/>
  <c r="O37" i="18" s="1"/>
  <c r="P37" i="18" l="1"/>
  <c r="E33" i="18"/>
  <c r="G33" i="18"/>
  <c r="E38" i="18"/>
  <c r="G38" i="18"/>
  <c r="E46" i="18"/>
  <c r="G46" i="18"/>
  <c r="E51" i="18"/>
  <c r="G51" i="18"/>
  <c r="E34" i="18"/>
  <c r="G34" i="18"/>
  <c r="E42" i="18"/>
  <c r="G42" i="18"/>
  <c r="E48" i="18"/>
  <c r="G48" i="18"/>
  <c r="E52" i="18"/>
  <c r="G52" i="18"/>
  <c r="E35" i="18"/>
  <c r="G35" i="18"/>
  <c r="E44" i="18"/>
  <c r="G44" i="18"/>
  <c r="E49" i="18"/>
  <c r="G49" i="18"/>
  <c r="E54" i="18"/>
  <c r="G54" i="18"/>
  <c r="E36" i="18"/>
  <c r="G36" i="18"/>
  <c r="E45" i="18"/>
  <c r="G45" i="18"/>
  <c r="E50" i="18"/>
  <c r="G50" i="18"/>
  <c r="G59" i="14"/>
  <c r="P59" i="14" s="1"/>
  <c r="G58" i="14"/>
  <c r="P58" i="14" s="1"/>
  <c r="G57" i="14"/>
  <c r="G52" i="14"/>
  <c r="P52" i="14" s="1"/>
  <c r="G51" i="14"/>
  <c r="G46" i="14"/>
  <c r="P46" i="14" s="1"/>
  <c r="G45" i="14"/>
  <c r="P45" i="14" s="1"/>
  <c r="G44" i="14"/>
  <c r="P44" i="14" s="1"/>
  <c r="G43" i="14"/>
  <c r="P43" i="14" s="1"/>
  <c r="G42" i="14"/>
  <c r="P42" i="14" s="1"/>
  <c r="G41" i="14"/>
  <c r="P41" i="14" s="1"/>
  <c r="G40" i="14"/>
  <c r="G35" i="14"/>
  <c r="G34" i="14"/>
  <c r="G33" i="14"/>
  <c r="G29" i="14"/>
  <c r="P29" i="14" s="1"/>
  <c r="G24" i="14"/>
  <c r="P24" i="14" s="1"/>
  <c r="G23" i="14"/>
  <c r="G22" i="14"/>
  <c r="G14" i="14"/>
  <c r="G13" i="14"/>
  <c r="O13" i="14" s="1"/>
  <c r="O49" i="18" l="1"/>
  <c r="P49" i="18" s="1"/>
  <c r="O46" i="18"/>
  <c r="P46" i="18" s="1"/>
  <c r="O50" i="18"/>
  <c r="P50" i="18" s="1"/>
  <c r="O36" i="18"/>
  <c r="P36" i="18" s="1"/>
  <c r="O35" i="18"/>
  <c r="P35" i="18" s="1"/>
  <c r="O48" i="18"/>
  <c r="P48" i="18" s="1"/>
  <c r="O34" i="18"/>
  <c r="P34" i="18" s="1"/>
  <c r="O45" i="18"/>
  <c r="P45" i="18" s="1"/>
  <c r="O54" i="18"/>
  <c r="P54" i="18" s="1"/>
  <c r="O44" i="18"/>
  <c r="P44" i="18" s="1"/>
  <c r="O52" i="18"/>
  <c r="P52" i="18" s="1"/>
  <c r="O42" i="18"/>
  <c r="P42" i="18" s="1"/>
  <c r="O51" i="18"/>
  <c r="P51" i="18" s="1"/>
  <c r="O38" i="18"/>
  <c r="P38" i="18" s="1"/>
  <c r="O35" i="14"/>
  <c r="P35" i="14" s="1"/>
  <c r="O33" i="14"/>
  <c r="P33" i="14" s="1"/>
  <c r="O34" i="14"/>
  <c r="P34" i="14" s="1"/>
  <c r="G59" i="18"/>
  <c r="O33" i="18"/>
  <c r="B69" i="18"/>
  <c r="O14" i="14"/>
  <c r="O15" i="14" s="1"/>
  <c r="P13" i="14"/>
  <c r="G15" i="14"/>
  <c r="G60" i="14"/>
  <c r="P60" i="14" s="1"/>
  <c r="G36" i="14"/>
  <c r="P40" i="14"/>
  <c r="G47" i="14"/>
  <c r="P47" i="14" s="1"/>
  <c r="P23" i="14"/>
  <c r="G25" i="14"/>
  <c r="P51" i="14"/>
  <c r="G53" i="14"/>
  <c r="P22" i="14"/>
  <c r="P57" i="14"/>
  <c r="E59" i="18"/>
  <c r="E72" i="18" s="1"/>
  <c r="N59" i="18" l="1"/>
  <c r="N72" i="18" s="1"/>
  <c r="N73" i="18" s="1"/>
  <c r="N74" i="18" s="1"/>
  <c r="O59" i="18"/>
  <c r="N36" i="14"/>
  <c r="N64" i="14" s="1"/>
  <c r="O36" i="14"/>
  <c r="P36" i="14" s="1"/>
  <c r="G72" i="18"/>
  <c r="C19" i="27" s="1"/>
  <c r="P33" i="18"/>
  <c r="P71" i="18"/>
  <c r="P25" i="14"/>
  <c r="G64" i="14"/>
  <c r="C17" i="27" s="1"/>
  <c r="P59" i="18"/>
  <c r="P15" i="14"/>
  <c r="P14" i="14"/>
  <c r="P53" i="14"/>
  <c r="C20" i="27" l="1"/>
  <c r="D25" i="27" s="1"/>
  <c r="G73" i="18"/>
  <c r="O64" i="14"/>
  <c r="P64" i="14" s="1"/>
  <c r="C17" i="24"/>
  <c r="C19" i="24"/>
  <c r="O72" i="18"/>
  <c r="P72" i="18" s="1"/>
  <c r="D24" i="27" l="1"/>
  <c r="D37" i="27" s="1"/>
  <c r="C37" i="27" s="1"/>
  <c r="D39" i="27"/>
  <c r="G74" i="18"/>
  <c r="D18" i="27"/>
  <c r="D19" i="27"/>
  <c r="D18" i="24"/>
  <c r="D19" i="24"/>
  <c r="C20" i="24"/>
  <c r="D39" i="24" s="1"/>
  <c r="C30" i="27" l="1"/>
  <c r="D26" i="27"/>
  <c r="D32" i="27"/>
  <c r="D31" i="27" s="1"/>
  <c r="C31" i="27" s="1"/>
  <c r="C32" i="27" s="1"/>
  <c r="D38" i="27"/>
  <c r="C38" i="27" s="1"/>
  <c r="C39" i="27" s="1"/>
  <c r="D24" i="24"/>
  <c r="D25" i="24"/>
  <c r="C30" i="24" l="1"/>
  <c r="D32" i="24"/>
  <c r="D31" i="24" s="1"/>
  <c r="D37" i="24"/>
  <c r="C37" i="24" s="1"/>
  <c r="D26" i="24"/>
  <c r="C31" i="24" l="1"/>
  <c r="C32" i="24" s="1"/>
  <c r="D38" i="24"/>
  <c r="C38" i="24" s="1"/>
  <c r="C39" i="24" s="1"/>
</calcChain>
</file>

<file path=xl/sharedStrings.xml><?xml version="1.0" encoding="utf-8"?>
<sst xmlns="http://schemas.openxmlformats.org/spreadsheetml/2006/main" count="560" uniqueCount="327">
  <si>
    <t>מקפיא</t>
  </si>
  <si>
    <t>מעבד מזון מקצועי</t>
  </si>
  <si>
    <t>מיקרוגל</t>
  </si>
  <si>
    <t>סולם</t>
  </si>
  <si>
    <t>מכונת כביסה 7 ק"ג</t>
  </si>
  <si>
    <t>מייבש כביסה 7 ק"ג</t>
  </si>
  <si>
    <t>מערכת הקרנה ומסך חשמלי</t>
  </si>
  <si>
    <t>סך ציוד אחזקת המתחם</t>
  </si>
  <si>
    <t>דיפיבריליאטור</t>
  </si>
  <si>
    <t>מס'</t>
  </si>
  <si>
    <t>סך מחשבים וציוד מולטימדיה</t>
  </si>
  <si>
    <t>סך ציוד אבטחה ובטיחות קבוע</t>
  </si>
  <si>
    <t>סך ציוד תעסוקה</t>
  </si>
  <si>
    <t>הערות</t>
  </si>
  <si>
    <t>שואב אבק תעשייתי</t>
  </si>
  <si>
    <t>סך ציוד סניטריה</t>
  </si>
  <si>
    <t xml:space="preserve">סך ריהוט וציוד חדר אוכל </t>
  </si>
  <si>
    <t>סך ציוד מולטימדיה</t>
  </si>
  <si>
    <t>4.1.1</t>
  </si>
  <si>
    <t>4.1.2</t>
  </si>
  <si>
    <t>4.1.3</t>
  </si>
  <si>
    <t>4.1.4</t>
  </si>
  <si>
    <t>4.2.2</t>
  </si>
  <si>
    <t>4.2.3</t>
  </si>
  <si>
    <t>4.2.4</t>
  </si>
  <si>
    <t>4.2.5</t>
  </si>
  <si>
    <t>4.2.6</t>
  </si>
  <si>
    <t>סך ריהוט וציוד חללים משותפים</t>
  </si>
  <si>
    <t>4.2.7</t>
  </si>
  <si>
    <t>*</t>
  </si>
  <si>
    <t>סך ציוד עזרה ראשונה, מציל חיים וציוד חרום</t>
  </si>
  <si>
    <t xml:space="preserve">כל  המחירים והעלויות להלן  נקובים  בש"ח  וכוללים  מע"מ  </t>
  </si>
  <si>
    <t>הציוד המבוקש מיועד עבור המשתקמים בלבד ואינו  מיועד לעובדי  המסגרת ו/או מנהליה.</t>
  </si>
  <si>
    <t>כל המחירים והעלויות להלן נקובים בש"ח  וכוללים מע"מ.</t>
  </si>
  <si>
    <t>לאנשים עם מוגבלות</t>
  </si>
  <si>
    <t xml:space="preserve">גירסה  עדכנית  לתאריך  </t>
  </si>
  <si>
    <t>רקע:</t>
  </si>
  <si>
    <t>בעשור  האחרון חל פיתוח מואץ, בהקמת מסגרות יום  בקהילה, עבור אנשים בוגרים (21+) עם מוגבלות, מתוך תפיסה הדוגלת בשילובם בקהילה, ובמתן פתרונות ומענים מגוונים, לבחירה של הפרט ובני משפחתו.</t>
  </si>
  <si>
    <t xml:space="preserve">הקרן לפיתוח שירותים לנכים של המוסד לביטוח לאומי, אשר הוקמה בשנת 1976 , מסייעת בפיתוח שירותים, המיועדים לשיפור איכות חייהם, שילובם ושיקומם של אנשים עם מוגבלות מגיל לידה עד גיל 65. </t>
  </si>
  <si>
    <t>המסמך נועד:</t>
  </si>
  <si>
    <t>1. מטרת המסמך</t>
  </si>
  <si>
    <t>מש"ה – סיעודיים -  1:5</t>
  </si>
  <si>
    <t>מש"ה – טיפוליים -  1:7</t>
  </si>
  <si>
    <t xml:space="preserve">בקטגוריה זו נקבעו 3 מדרגות: </t>
  </si>
  <si>
    <t xml:space="preserve"> נאה   נעימה ואסתטית לפנים המבנה.</t>
  </si>
  <si>
    <t xml:space="preserve"> ניתן להתקין ציוד גז באישור מתקין גז מוסמך מטעם משרד הכלכלה.</t>
  </si>
  <si>
    <t xml:space="preserve">הסדנאות  תחולקנה ל  2  רמות בהתאם  לעלותן – </t>
  </si>
  <si>
    <t>רמת מחיר  א' – סדנאות  יקרות- מחשבים ומולטימדיה , קרמיקה ,נגרות.</t>
  </si>
  <si>
    <t>רמת מחיר ב' – סדנאות זולות יותר- קפיטריה, סדנת גינון עם אדניות מוגבהות, סדנת אפיה ובישול, סדנת מוסיקה.</t>
  </si>
  <si>
    <t>2. הנחות יסוד</t>
  </si>
  <si>
    <t>אוטיזם -  1:4</t>
  </si>
  <si>
    <t>שיקום -  1:5</t>
  </si>
  <si>
    <t xml:space="preserve">3.1   הבקשה תכלול את הפרטים הבאים: </t>
  </si>
  <si>
    <t>3.3   יש לתת עדיפות לרכישת פריטים מתוצרת הארץ.</t>
  </si>
  <si>
    <t>3.4   ברכישת הציוד יש להיצמד למחירים המופיעים בתקן.</t>
  </si>
  <si>
    <t>3.5  הטבלה כוללת עלויות הובלה והתקנת הציוד.</t>
  </si>
  <si>
    <t xml:space="preserve">3.6   הציוד המבוקש צריך להיות מתאים למטרות ותפעול המסגרת, מספר האנשים, כמות ומידות החדרים והחללים, ולשטח החצרות. </t>
  </si>
  <si>
    <t>3.7   בתכנון הרכש יש להתייחס לתקני איכות ובטיחות עדכניים.</t>
  </si>
  <si>
    <t>3.     הנחיות להגשת הבקשה:</t>
  </si>
  <si>
    <t xml:space="preserve">ב.  מספר האנשים במסגרת, גיל, אפיון ותפקוד האנשים , כולל מיפוי אוכלוסייה עתידית ל - 5 שנים הקרובות.  </t>
  </si>
  <si>
    <t xml:space="preserve">ה. תוכנית העמדה של הציוד על גבי תוכנית אדריכלית בגודל  A3. </t>
  </si>
  <si>
    <t>ג.  תיאור הארגון , צוות , יש לציין  היקפי המשרות.</t>
  </si>
  <si>
    <t xml:space="preserve">ו. רשימת הציוד הקיים בציון משך השימוש שנעשה בו ומצבו הנוכחי. </t>
  </si>
  <si>
    <t>ז. בקשת הריהוט והציוד תוגש באמצעות  קובץ  האקסל המצורף למסמך זה. יש לסמן את הריהוט והציוד המבוקש על גבי הטבלאות בהתאם להנחיות למילוי הבקשה.</t>
  </si>
  <si>
    <t>תקן ציוד כללי בסיסי למרכזי יום טיפוליים ולמסגרות מזדקנים</t>
  </si>
  <si>
    <t xml:space="preserve">מדובר  באוכלוסייה הזקוקה  לתמיכות רבות  בחיי  היום – יום. המסגרות מוכרות ומתוקצבות ע"י משרד העבודה והרווחה והשרותים החברתיים. </t>
  </si>
  <si>
    <t>ד.     התקן מיועד למרכזי יום ולמסגרות למזדקנים הפועלים כיחידה נפרדת או המשולבים במסגרות תעסוקה מוגנת.</t>
  </si>
  <si>
    <t xml:space="preserve">2.2     התקן כולל תקציב המיועד לקבלת שירותי עיצוב פנים   על מנת לתת חזות  </t>
  </si>
  <si>
    <t>הציוד לסדנאות לא יכלול ציוד מתכלה.</t>
  </si>
  <si>
    <t>הציוד לסדנאות כולל ריהוט מתאים: כיסאות, שולחנות וארונות המותאמים לכמות האנשים בסדנה.</t>
  </si>
  <si>
    <t xml:space="preserve">      ציוד לסדנאות- יש לפרט מס' הסדנאות המבוקש: שם הסדנה , תוכן, </t>
  </si>
  <si>
    <t xml:space="preserve">      היקף פעילות בסדנה, מס' משתתפים , צוות ומיקום פיזי של הסדנה במבנה.</t>
  </si>
  <si>
    <t>שם הסדנה, תכני הסדנה, מספר משתתפים,איש המקצוע האחראי על הסדנה, ומיקום פיזי של הסדנה במבנה.</t>
  </si>
  <si>
    <t xml:space="preserve">המסגרות מיועדות, לאנשים ברמת תפקוד טיפולית וסיעודית, הזקוקים לתמיכות מקיפות בחיי היום יום.  </t>
  </si>
  <si>
    <t>במסגרות ניתנים: שירותי תמיכה, טיפול, העשרה ופנאי  מגוונים בשעות היום.</t>
  </si>
  <si>
    <t>קביעת תקן ריהוט וציוד כללי בסיסי, למרכזי יום ולמסגרות למזדקנים עבור אנשים עם מוגבלות:  פיזית, חושית, מוגבלות שכלית  התפתחותית, נפשית ועל הרצף האוטיסטי.</t>
  </si>
  <si>
    <t>א.    להגדיר תחומי והיקף הסיוע  של  הקרן  עבור הציוד  הנדרש למסגרות.</t>
  </si>
  <si>
    <t>ב.     לסייע לאנשי מקצוע למקד את הצרכים בציוד בעת הקמת מסגרת חדשה או בשדרוג מסגרת קיימת.</t>
  </si>
  <si>
    <t xml:space="preserve">ג.       לקבוע  מסגרת  תקציבית  בהתאם לגודל וסוג המסגרת.  </t>
  </si>
  <si>
    <t>תקינה עדכנית של משרד הרווחה קובעת יחס בין משתקמים למדריך בקבוצה עפ"י היחסים הבאים:</t>
  </si>
  <si>
    <t xml:space="preserve">·        מסגרת גדולה  - 61 אנשים ומעלה  </t>
  </si>
  <si>
    <t>מספר  הסדנאות המקסימלי  האפשרי  מותנה  בגודל  המסגרת  ומופיע בתקן עצמו.</t>
  </si>
  <si>
    <t xml:space="preserve">מרוכזת של כמות גדולה של פריטי ציוד שונים מאותו ספק,  באחריות המסגרת  לקבל "הנחת כמות". </t>
  </si>
  <si>
    <t>3.2   יש לשאוף לניצול מקסימלי של החדרים ובהתאם לכך לתכנן את אחסון הציוד בצורה  הולמת, מוגנת ושמורה. יש לשאוף לניצול יעיל ומרבי של הציוד.</t>
  </si>
  <si>
    <t>מסמך זה נועד לפשט את תהליך הגשת הבקשות לקרנות לסיוע  במימון ציוד בסיסי למרכזי היום ולמסגרות למזדקנים (יקראו להלן  "המסגרות").</t>
  </si>
  <si>
    <t>א. הסבר קצר על המסגרת : ייעוד, מטרות, היסטוריה , פעילות שוטפת של המסגרת, תכנים.</t>
  </si>
  <si>
    <t>ד. תיאור המבנה בו נמצאת המסגרת: בעלות על המבנה, שטח המבנה (ברוטו/נטו), האם המבנה חדש או קיים , טבלה המפרטת מספר החללים, ייעודם וגודלם.</t>
  </si>
  <si>
    <t>תרומתה של הקרן לפיתוח שרותים לנכים, לפיתוח ושדרוג המסגרות, האיצה את הקמתן ופריסתן בכל רחבי הארץ, ובעשור האחרון , מאות אנשים עם מוגבלות נהנים מהמבנים המרווחים והמאובזרים בציוד חדשני ומותאם.</t>
  </si>
  <si>
    <t>סך ציוד וריהוט לחדר קבוצה</t>
  </si>
  <si>
    <t>שם ספק</t>
  </si>
  <si>
    <t>מס חשבונית</t>
  </si>
  <si>
    <t>תאריך חשבונית</t>
  </si>
  <si>
    <t>הפרש בין הסכום שנרכש בפועל לעלות שאושרה</t>
  </si>
  <si>
    <t>שיעור ההפרש</t>
  </si>
  <si>
    <t>ציוד חדרי קבוצות - בקשה</t>
  </si>
  <si>
    <t>סכום - שנרכש בפועל כולל מע"מ</t>
  </si>
  <si>
    <t>ציוד וריהוט חדרי קבוצות - תקן</t>
  </si>
  <si>
    <t xml:space="preserve">מס'  </t>
  </si>
  <si>
    <t xml:space="preserve">ציוד </t>
  </si>
  <si>
    <t xml:space="preserve">מחיר ליחידה   </t>
  </si>
  <si>
    <t xml:space="preserve">סך עלות הציוד המבוקש  </t>
  </si>
  <si>
    <t>ציוד וריהוט חדר אוכל - תקן</t>
  </si>
  <si>
    <t>ציוד וריהוט חדר אוכל - בקשה</t>
  </si>
  <si>
    <t xml:space="preserve">כמות    </t>
  </si>
  <si>
    <t>ציוד מטבח מחמם  - בקשה</t>
  </si>
  <si>
    <t>ריהוט וציוד חללים משותפים  - תקן</t>
  </si>
  <si>
    <t>ריהוט וציוד חללים משותפים  - בקשה</t>
  </si>
  <si>
    <t>ציוד אחזקת המתחם  - בקשה</t>
  </si>
  <si>
    <t>4.3.1</t>
  </si>
  <si>
    <t>4.3.2</t>
  </si>
  <si>
    <t>קטגוריה  ג' - ציוד מטבח וחדר אוכל</t>
  </si>
  <si>
    <t>מקרר ארון חד רוחבי</t>
  </si>
  <si>
    <t>מקפיא ארון חד רוחבי</t>
  </si>
  <si>
    <t>מקרר דלפק</t>
  </si>
  <si>
    <t>שולחן כניסה ויציאה  למדיח כלים</t>
  </si>
  <si>
    <t>קוצץ ירקות שולחני</t>
  </si>
  <si>
    <t>מעבד מזון תעשייתי</t>
  </si>
  <si>
    <t>משטחי עבודה</t>
  </si>
  <si>
    <t>שולחן כיור</t>
  </si>
  <si>
    <t>מיקרוגל לעומס בינוני</t>
  </si>
  <si>
    <t>מחבת מתהפך 50 ליטר</t>
  </si>
  <si>
    <t>ארון חימום תחתון/ מעמד לתנור</t>
  </si>
  <si>
    <t>סוללה עם מתז עליון על שולחן</t>
  </si>
  <si>
    <t>ברז שולחני עם פיה מסתובבת לכיור עבודה</t>
  </si>
  <si>
    <t>מדף עליון כפול</t>
  </si>
  <si>
    <t>מתלה ייבוש לצלחות עם מדף לספלים</t>
  </si>
  <si>
    <t>עגלה עם מיכל אשפה  80 ליטר</t>
  </si>
  <si>
    <t>מיחם אוטומטי  25 ליטר</t>
  </si>
  <si>
    <t xml:space="preserve">ארון אחסון יבש </t>
  </si>
  <si>
    <t>סה"כ ציוד מטבח מבשל - כולל מע"מ</t>
  </si>
  <si>
    <t>ציוד מטבח מבשל - בקשה</t>
  </si>
  <si>
    <t>סך ציוד מטבח מחמם</t>
  </si>
  <si>
    <t>4.3.3</t>
  </si>
  <si>
    <t>עלות הציוד</t>
  </si>
  <si>
    <t>שלוט פנים לאיפיון חדרים (לפי מספר חדרים בתוספת 30% לחללים משותפים)</t>
  </si>
  <si>
    <t xml:space="preserve">וילונות חסיני אש  (גודל הווילון 12 מ"ר, כמות לפי מס' חדרים ובתוספת  30% למתחם כללי) </t>
  </si>
  <si>
    <t>כמות הציוד המבוקש</t>
  </si>
  <si>
    <t>סט כלי אוכל - בהתאם לכמות האנשים במסגרת בתוספת  20%</t>
  </si>
  <si>
    <t>4.2.1</t>
  </si>
  <si>
    <t>מחשבים וציוד מולטימדיה לחדרי קבוצות - תקן</t>
  </si>
  <si>
    <t>מחשבים וציוד מולטימדיה לחדרי קבוצות - בקשה</t>
  </si>
  <si>
    <t>מחשבים וציוד מולטימדיה לחדרי קבוצות - דו"ח הוצאות כספי מפורט</t>
  </si>
  <si>
    <t>ציוד סניטריה לחדרי שרותים - תקן</t>
  </si>
  <si>
    <t>ציוד סניטריה לחדרי שרותים - בקשה</t>
  </si>
  <si>
    <t>ציוד גן, חצר ומרפסות - תקן</t>
  </si>
  <si>
    <t>ציוד גן, חצר ומרפסות - בקשה</t>
  </si>
  <si>
    <t>ציוד תעסוקה/ סדנאות - תקן</t>
  </si>
  <si>
    <t>ציוד תעסוקה/ סדנאות - בקשה</t>
  </si>
  <si>
    <t>שירותי אדריכלות ועיצוב פנים - תקן</t>
  </si>
  <si>
    <t>שירותי אדריכלות ועיצוב פנים - בקשה</t>
  </si>
  <si>
    <t>ציוד מולטימדיה כללי - תקן</t>
  </si>
  <si>
    <t>ציוד מולטימדיה כללי - בקשה</t>
  </si>
  <si>
    <t>ציוד אחזקת המתחם - תקן</t>
  </si>
  <si>
    <t>ציוד אבטחה ובטיחות - תקן</t>
  </si>
  <si>
    <t>ציוד אבטחה ובטיחות - בקשה</t>
  </si>
  <si>
    <t>ציוד עזרה ראשונה, ציוד מציל חיים וציוד חרום - תקן</t>
  </si>
  <si>
    <t>ציוד עזרה ראשונה, ציוד מציל חיים וציוד חרום - בקשה</t>
  </si>
  <si>
    <t>סה"כ</t>
  </si>
  <si>
    <t>כלי מטבח (לפי 200 ₪ לאדם)</t>
  </si>
  <si>
    <t xml:space="preserve">מרכך מים </t>
  </si>
  <si>
    <t xml:space="preserve">קטגוריה ב'- ציוד כללי לסדנאות, חללים משותפים וציוד נוסף </t>
  </si>
  <si>
    <t>התראת חריגה</t>
  </si>
  <si>
    <t>הערות/ הסבר חריגות</t>
  </si>
  <si>
    <t>בשלב  א</t>
  </si>
  <si>
    <t>צפי עלות רכישה: בשלב  א</t>
  </si>
  <si>
    <t xml:space="preserve">מתקן נייר טואלט כפול (לפי מס' חדרים בתוספת 30% לחללים משותפים) </t>
  </si>
  <si>
    <t>כלי מטבח (לפי 400 ₪ לאדם)</t>
  </si>
  <si>
    <t>ציוד חדרי קבוצות - שלב ב': דו"ח הוצאות כספי מפורט</t>
  </si>
  <si>
    <t>ציוד גן, חצר ומרפסות - שלב ב': דו"ח הוצאות כספי מפורט</t>
  </si>
  <si>
    <t>ציוד סניטריה לחדרי שרותים - שלב ב': דו"ח הוצאות כספי מפורט</t>
  </si>
  <si>
    <t>ציוד תעסוקה/ סדנאות - שלב ב': דו"ח הוצאות כספי מפורט</t>
  </si>
  <si>
    <t>ריהוט וציוד חללים משותפים  - שלב ב': דו"ח הוצאות כספי מפורט</t>
  </si>
  <si>
    <t>שירותי אדריכלות ועיצוב פנים - שלב ב': דו"ח הוצאות כספי מפורט</t>
  </si>
  <si>
    <t>ציוד מולטימדיה כללי - שלב ב': דו"ח הוצאות כספי מפורט</t>
  </si>
  <si>
    <t>ציוד אחזקת המתחם  - שלב ב': דו"ח הוצאות כספי מפורט</t>
  </si>
  <si>
    <t>ציוד אבטחה ובטיחות - שלב ב': דו"ח הוצאות כספי מפורט</t>
  </si>
  <si>
    <t>ציוד עזרה ראשונה, ציוד מציל חיים וציוד חרום - שלב ב': דו"ח הוצאות כספי מפורט</t>
  </si>
  <si>
    <t>ציוד מטבח מחמם  - שלב ב': דו"ח הוצאות כספי מפורט</t>
  </si>
  <si>
    <t>ציוד מטבח מבשל - שלב ב': דו"ח הוצאות כספי מפורט</t>
  </si>
  <si>
    <t>ציוד וריהוט חדר אוכל - שלב ב': דו"ח הוצאות כספי מפורט</t>
  </si>
  <si>
    <t xml:space="preserve">קטגוריה א'- ציוד וריהוט לחדרי קבוצות  </t>
  </si>
  <si>
    <t>שולחן מחשב (לפי מספר חדרים)</t>
  </si>
  <si>
    <t>כורסא  (לפי מספר חדרים)</t>
  </si>
  <si>
    <t>כוננית מדפים (לפי מספר חדרים)</t>
  </si>
  <si>
    <t>מראה (לפי מספר חדרים)</t>
  </si>
  <si>
    <t>שעון קיר (לפי מספר חדרים)</t>
  </si>
  <si>
    <t>מחשב קומפלט (לפי מספר חדרים)</t>
  </si>
  <si>
    <t>מדפסת משולבת (לפי מספר חדרים)</t>
  </si>
  <si>
    <t>טלוויזיה 65" + מגן (לפי מספר חדרים)</t>
  </si>
  <si>
    <t>פינת ישיבה למרפסת כיתה (לפי מספר חדרים)</t>
  </si>
  <si>
    <t xml:space="preserve">סך ציוד גן, חצר ומרפסות  </t>
  </si>
  <si>
    <t>מתקן ניקוי אסלה (לפי מס' חדרים בתוספת 30% לחללים משותפים)</t>
  </si>
  <si>
    <t>פח אשפה (לפי מס' חדרים בתוספת 30% לחללים משותפים)</t>
  </si>
  <si>
    <t>דיספנסר לסבון נוזלי (לפי מס' חדרים בתוספת 30% לחללים משותפים)</t>
  </si>
  <si>
    <t>מתקן מגבות נייר (לפי מס' חדרים בתוספת 30% לחללים משותפים)</t>
  </si>
  <si>
    <t>מראה (לפי מס' חדרים בתוספת 30% לחללים משותפים)</t>
  </si>
  <si>
    <t xml:space="preserve">עלות ציוד התקן </t>
  </si>
  <si>
    <t xml:space="preserve">עלות הציוד המבוקש </t>
  </si>
  <si>
    <t>סך</t>
  </si>
  <si>
    <t xml:space="preserve">כמות תקן   </t>
  </si>
  <si>
    <t>עלות ציוד התקן כולל מע"מ</t>
  </si>
  <si>
    <t xml:space="preserve">מחיר התקן ליחידה כולל מע"מ   </t>
  </si>
  <si>
    <t xml:space="preserve">סך עלות הציוד המבוקש כולל מע"מ  </t>
  </si>
  <si>
    <t>צפי עלות רכישה כולל מע"מ</t>
  </si>
  <si>
    <t>בשלב א'</t>
  </si>
  <si>
    <t>שולחן בחדר קבוצה (לפי 4 אנשים לשולחן)</t>
  </si>
  <si>
    <t>תאריך הגשת הבקשה:</t>
  </si>
  <si>
    <t>שם הגוף המבקש:</t>
  </si>
  <si>
    <t>כתובת הגוף המבקש:</t>
  </si>
  <si>
    <t>שאלון למילוי ע"י  מגיש הבקשה:</t>
  </si>
  <si>
    <t>פרטי הגוף המבקש</t>
  </si>
  <si>
    <t>איש קשר בגוף המבקש:</t>
  </si>
  <si>
    <t>טלפון איש קשר בגוף המבקש:</t>
  </si>
  <si>
    <t>מייל איש קשר בגוף המבקש:</t>
  </si>
  <si>
    <t>פרטי המסגרת</t>
  </si>
  <si>
    <t>שם המסגרת:</t>
  </si>
  <si>
    <t>כתובת המסגרת:</t>
  </si>
  <si>
    <t>איש קשר במסגרת:</t>
  </si>
  <si>
    <t>טלפון איש קשר במסגרת:</t>
  </si>
  <si>
    <t>מייל איש קשר במסגרת:</t>
  </si>
  <si>
    <t>מאפייני המקום</t>
  </si>
  <si>
    <t>דירוג סוציואקונומי של הישוב (לבחור):</t>
  </si>
  <si>
    <t>קו עימות:</t>
  </si>
  <si>
    <t>מספר האנשים שעבורם מיועד הפרויקט:</t>
  </si>
  <si>
    <t>מספר חדרי פעילות:</t>
  </si>
  <si>
    <t>הערות והסברים למילוי הבקשה:</t>
  </si>
  <si>
    <t>נא למלא את השאלון לעיל לפני מעבר לכתב הכמויות</t>
  </si>
  <si>
    <t>התקנת חלק מהציוד דורשת עבודות פיתוח, תשתיות ושיפוץ. במסגרת התקן לא ינתן מימון לעבודות הנ"ל</t>
  </si>
  <si>
    <t xml:space="preserve">נא להתייחס להערות בכל הגיליון לגבי הדרישות למשאבים, כ"א, תקנים, מתן  פירוט והסברים  </t>
  </si>
  <si>
    <t>המחירים כוללים הובלה והתקנה של הציוד</t>
  </si>
  <si>
    <t>דירוג אשכול סוציו אקונומי:</t>
  </si>
  <si>
    <t>דו"ח סיכום פרויקט בקשת הצטיידות</t>
  </si>
  <si>
    <t>תאריך הגשה:</t>
  </si>
  <si>
    <t>מספר משתתפים בפרויקט:</t>
  </si>
  <si>
    <t>קטגוריית ציוד</t>
  </si>
  <si>
    <t>סך בקשת הגוף שאושרה ע"י מנהל/ת התכנית (בש"ח וכולל מע"מ)</t>
  </si>
  <si>
    <t>סה"כ לפרוייקט</t>
  </si>
  <si>
    <t>גורם מממן</t>
  </si>
  <si>
    <t>אחוז מימון</t>
  </si>
  <si>
    <t xml:space="preserve">סכום מימון </t>
  </si>
  <si>
    <t>אחוז מימון מקסימלי-ביטוח לאומי</t>
  </si>
  <si>
    <t>מימון עצמי</t>
  </si>
  <si>
    <t>סכום מימון מקסימלי-ביטוח לאומי</t>
  </si>
  <si>
    <t>לאישור הוועדה</t>
  </si>
  <si>
    <t>מימון ביטוח לאומי מקסימלי</t>
  </si>
  <si>
    <t>אחוז מימון מקסימלי לפי דירוג אשכול לאישור הוועדה (לפי אחוז השתתפות בט"ל וללא התחשבות בתקציב הסיוע המקסימלי בקול קורא)</t>
  </si>
  <si>
    <t>מימון מאושר - הנמוך מבין השניים - אחוז השתתפות  או תקציב סיוע מקסימלי</t>
  </si>
  <si>
    <t>מימון מקסימלי לפי דירוג אשכול לאישור הוועדה (אחוז השתתפות בט"ל בהתחשב בתקציב הסיוע המקסימלי בקול קורא)</t>
  </si>
  <si>
    <r>
      <t xml:space="preserve">הגוף המבקש מתבקש למלא פרטים </t>
    </r>
    <r>
      <rPr>
        <u/>
        <sz val="11"/>
        <rFont val="Times New Roman"/>
        <family val="1"/>
      </rPr>
      <t xml:space="preserve">רק </t>
    </r>
    <r>
      <rPr>
        <sz val="11"/>
        <rFont val="Times New Roman"/>
        <family val="1"/>
      </rPr>
      <t>בתאים המסומנים בצבע תכלת . אין לגעת בתאים אחרים.</t>
    </r>
  </si>
  <si>
    <t>כמויות התקן משתנות בהתאם  למספר האנשים במסגרת ומספר חדרי קבוצות.</t>
  </si>
  <si>
    <r>
      <t xml:space="preserve">מבקש  הציוד  מתבקש למלא  </t>
    </r>
    <r>
      <rPr>
        <u/>
        <sz val="11"/>
        <rFont val="Times New Roman"/>
        <family val="1"/>
        <scheme val="major"/>
      </rPr>
      <t>רק</t>
    </r>
    <r>
      <rPr>
        <sz val="11"/>
        <rFont val="Times New Roman"/>
        <family val="1"/>
        <scheme val="major"/>
      </rPr>
      <t xml:space="preserve">  את  התאים  הממורקרים בתכלת.</t>
    </r>
  </si>
  <si>
    <t>כסא בחדר קבוצה (לפי מספר אנשים)</t>
  </si>
  <si>
    <r>
      <rPr>
        <u/>
        <sz val="11"/>
        <rFont val="Times New Roman"/>
        <family val="1"/>
        <scheme val="major"/>
      </rPr>
      <t>רמה א'</t>
    </r>
    <r>
      <rPr>
        <sz val="11"/>
        <rFont val="Times New Roman"/>
        <family val="1"/>
        <scheme val="major"/>
      </rPr>
      <t xml:space="preserve"> - סט ציוד לסדנאות: קרמיקה/  נגרות/ מחשבים ומולטימדיה (לפי גודל המסגרת) *</t>
    </r>
  </si>
  <si>
    <r>
      <rPr>
        <u/>
        <sz val="11"/>
        <rFont val="Times New Roman"/>
        <family val="1"/>
        <scheme val="major"/>
      </rPr>
      <t>רמה ב'</t>
    </r>
    <r>
      <rPr>
        <sz val="11"/>
        <rFont val="Times New Roman"/>
        <family val="1"/>
        <scheme val="major"/>
      </rPr>
      <t xml:space="preserve"> - סט ציוד לסדנאות: גינון עם אדניות מוגבהות/ מוזיקה/ בישול/ אפיה/ בית קפה  (לפי גודל המסגרת)</t>
    </r>
  </si>
  <si>
    <t>פינת ישיבה ללובי  (לפי גודל המסגרת)</t>
  </si>
  <si>
    <t>מחשב קומפלט  (לפי גודל המסגרת)</t>
  </si>
  <si>
    <t>ארגז כלים  (לפי גודל המסגרת)</t>
  </si>
  <si>
    <t>תיק עזרה ראשונה   (לפי גודל המסגרת)</t>
  </si>
  <si>
    <t>ארון תרופות  (לפי גודל המסגרת)</t>
  </si>
  <si>
    <t>ציוד הגברה  (לפי גודל המסגרת)</t>
  </si>
  <si>
    <t>שירותי אדריכלות ועיצוב פנים (לפי גודל המסגרת)</t>
  </si>
  <si>
    <t>ציוד לתחזוקת חצר  וגינון  (לפי גודל המסגרת)</t>
  </si>
  <si>
    <t>מערכת מצלמות אבטחה (התחשיב - עלות מערכת והתקנה  5,000 ₪  +  מצלמה אחת לכל חדר פעילות לפי 2,000 ₪  בתוספת 100% מכמות מצלמות  הנ"ל למקומות ציבוריים)</t>
  </si>
  <si>
    <t>מערכת כריזת חירום (מערכת הגברה לפי 5,000 ₪  + מיקרופון לפי 1,000 ₪  בכל חדר פעילות בתוספת 50% בחללים משוטפים)</t>
  </si>
  <si>
    <t>כיריים חשמליות  (לפי גודל המסגרת)</t>
  </si>
  <si>
    <t>מקרר ביתי / תעשייתי (לפי גודל המסגרת)</t>
  </si>
  <si>
    <t>מדיח כלים חצי תעשייתי / תעשייתי + מרכך מים (לפי גודל המסגרת)</t>
  </si>
  <si>
    <t>מקסר / בלנדר - בייתי / תעשייתי (לפי גודל המסגרת)</t>
  </si>
  <si>
    <t>מתקן מים (לפי גודל המסגרת)</t>
  </si>
  <si>
    <t>עגלת הגשה (לפי גודל המסגרת)</t>
  </si>
  <si>
    <t>עגלת חימום / קרור (לפי גודל המסגרת)</t>
  </si>
  <si>
    <t>ארון מדפים פתוחים (לפי גודל המסגרת)</t>
  </si>
  <si>
    <t>מדיח כלים חצי תעשייתי / תעשייתי  (לפי גודל המסגרת)</t>
  </si>
  <si>
    <t>כסא חדר אוכל  (לפי מספר אנשים)</t>
  </si>
  <si>
    <t>תנור קומביסטימר + מנדף (לפי גודל המסגרת)</t>
  </si>
  <si>
    <t>תנור אפיה וחימום – 2 תאים-חלבי / בשרי  (לפי גודל המסגרת)</t>
  </si>
  <si>
    <t>מחם אוטומטי  6 /  10ל'  (לפי גודל המסגרת)</t>
  </si>
  <si>
    <t>עגלת אשפה (לפי גודל המסגרת)</t>
  </si>
  <si>
    <t xml:space="preserve">הנחיות והערות למילוי הבקשה בקטגוריה  ג' </t>
  </si>
  <si>
    <t xml:space="preserve">הנחיות והערות למילוי הבקשה בקטגוריה  ב' </t>
  </si>
  <si>
    <t>ארון לוקרים (כמות תאים לפי מס' אנשים בתוספת 10%)</t>
  </si>
  <si>
    <t>עבור  הסדנאות,  נדרש  להעביר פירוט  הכולל:  שם הסדנה, תכנים, תדירות הפעילות, כמות משתתפים מתוכננת  וכמות והכשרת הצוות המפעיל.</t>
  </si>
  <si>
    <t>הציוד לסדנאות כולל ריהוט מתאים.</t>
  </si>
  <si>
    <t>הערות:</t>
  </si>
  <si>
    <t>מכונת שטיפת רצפות (לפי גודל המסגרת)</t>
  </si>
  <si>
    <t>שולחן חדר אוכל (4 אנשים בשולחן)</t>
  </si>
  <si>
    <t xml:space="preserve">עלות ציוד התקן לפי מטבח מבשל </t>
  </si>
  <si>
    <t>הנחיות והערות למילוי הבקשה בקטגוריה  א'</t>
  </si>
  <si>
    <t>המסמך אינו כולל ציוד טיפולי שיקומי וסיעודי , ציוד משרדי וכל ציוד אחר שאינו מופיע בתקן.</t>
  </si>
  <si>
    <t>*    קטגוריה  ג' - מטבח וחדר אוכל.</t>
  </si>
  <si>
    <t xml:space="preserve">*    קטגוריה  ב' - ציוד כללי לסדנאות, חללים משותפים וציוד נוסף </t>
  </si>
  <si>
    <t>ארון איחסון (שניים לחדר)</t>
  </si>
  <si>
    <t>שמשיה למרפסת (לפי מספר חדרים. גודל כ- 3*2=6 מ"ר)</t>
  </si>
  <si>
    <t>סה"כ ציוד מטבח מחמם + ציוד וריהוט חדר אוכל מע"מ</t>
  </si>
  <si>
    <t>סה"כ  וכולל מע"מ</t>
  </si>
  <si>
    <t>סה"כ ציוד מטבח מבשל + ציוד וריהוט חדר אוכל כולל מע"מ</t>
  </si>
  <si>
    <t xml:space="preserve"> </t>
  </si>
  <si>
    <t>ציוד: במידה והמטבח אינו בחלל נפרד, ניתן לבקש ציוד רק בהיקף של מחצית  מהעלות לעיל (בהתאם לגודל המסגרת)</t>
  </si>
  <si>
    <r>
      <t xml:space="preserve">קטגוריה  ג' - ציוד מטבח </t>
    </r>
    <r>
      <rPr>
        <b/>
        <sz val="11"/>
        <color theme="1"/>
        <rFont val="Times New Roman"/>
        <family val="1"/>
      </rPr>
      <t>מחמם</t>
    </r>
    <r>
      <rPr>
        <sz val="11"/>
        <color theme="1"/>
        <rFont val="Times New Roman"/>
        <family val="1"/>
      </rPr>
      <t xml:space="preserve"> וחדר אוכל</t>
    </r>
  </si>
  <si>
    <r>
      <t xml:space="preserve">קטגוריה  ג' - ציוד מטבח </t>
    </r>
    <r>
      <rPr>
        <b/>
        <sz val="11"/>
        <color theme="1"/>
        <rFont val="Times New Roman"/>
        <family val="1"/>
      </rPr>
      <t>מבשל</t>
    </r>
    <r>
      <rPr>
        <sz val="11"/>
        <color theme="1"/>
        <rFont val="Times New Roman"/>
        <family val="1"/>
      </rPr>
      <t xml:space="preserve"> וחדר אוכל</t>
    </r>
  </si>
  <si>
    <t xml:space="preserve">אביזרי נוי (לפי גודל המסגרת) </t>
  </si>
  <si>
    <t>כיריים חשמליות  / גז  6  להבות (לפי גודל המסגרת)</t>
  </si>
  <si>
    <t>בקטגוריה זו יש פירוט של ציוד עבור</t>
  </si>
  <si>
    <t>ג1. מטבח מחמם</t>
  </si>
  <si>
    <t>ג2. מטבח מבשל</t>
  </si>
  <si>
    <t>ג3. ציוד וריהוט לחדר אוכל</t>
  </si>
  <si>
    <t>מסגרת שיש לה אישור מהגורם המוסמך להפעלת מטבח מחמם ומפעילה מטבח מחמם תמלא  טבלאות  4.3.1  + 4.3.3 בלבד.</t>
  </si>
  <si>
    <t>מסגרת שיש לה אישור מהגורם המוסמך להפעלת מטבח מבשל ומפעילה מטבח מבשל תמלא  טבלאות 4.3.2  + 4.3.3  בלבד.</t>
  </si>
  <si>
    <t>הציוד בתקן על פי  גודל המסגרת או מספר האנשים.</t>
  </si>
  <si>
    <t xml:space="preserve">2.3     סדנאות - התקן מאפשר בחירה בין  מיגוון  סדנאות. מגיש הבקשה  יתבקש  להציג את היקף הפעילות של הסדנה (שלא יפחת  מ 10 שע'  בשבוע),  </t>
  </si>
  <si>
    <t xml:space="preserve">2.4    במידה ותירכש כמות גדולה של פריטי ציוד מאותו סוג, ו/או תבוצע רכישה </t>
  </si>
  <si>
    <t>3.8    התקן  נקוב  בש"ח  וכולל מע"מ.  שיעור  המע"מ  לתקופה  זו  הינו  17%.</t>
  </si>
  <si>
    <t>מבקש הציוד מתבקש למלא תחילה את ה"שאלון למילוי מגיש הבקשה"  במלואו.</t>
  </si>
  <si>
    <t>2.1    כדי לקבוע תקן  לציוד בסיסי, כאשר המסגרות  עצמן בגדלים  שונים, עם כמות והיקפי  קבוצות שונים  וכמויות שונות של  אנשים, הוחלט לבצע חלוקה לשלוש קטגוריות עיקריות, כדלקמן:</t>
  </si>
  <si>
    <t>*    קטגוריה א'- ציוד וריהוט לחדרי קבוצות, ולחדרי שרותים :</t>
  </si>
  <si>
    <r>
      <t xml:space="preserve">תקן הציוד בקטגוריה א'  נקבע לפי </t>
    </r>
    <r>
      <rPr>
        <u/>
        <sz val="11"/>
        <rFont val="Times New Roman"/>
        <family val="1"/>
        <scheme val="major"/>
      </rPr>
      <t xml:space="preserve"> מספר חדרי פעילות</t>
    </r>
    <r>
      <rPr>
        <sz val="11"/>
        <rFont val="Times New Roman"/>
        <family val="1"/>
        <scheme val="major"/>
      </rPr>
      <t xml:space="preserve"> או </t>
    </r>
    <r>
      <rPr>
        <u/>
        <sz val="11"/>
        <rFont val="Times New Roman"/>
        <family val="1"/>
        <scheme val="major"/>
      </rPr>
      <t>מספר האנשים במסגרת</t>
    </r>
    <r>
      <rPr>
        <sz val="11"/>
        <rFont val="Times New Roman"/>
        <family val="1"/>
        <scheme val="major"/>
      </rPr>
      <t>.</t>
    </r>
  </si>
  <si>
    <t>הציוד בתקן יקבע על פי  גודל המסגרת או כמות חדרי הפעילות.</t>
  </si>
  <si>
    <r>
      <t xml:space="preserve">מבקש  הציוד  מתבקש למלא  </t>
    </r>
    <r>
      <rPr>
        <u/>
        <sz val="11"/>
        <rFont val="Times New Roman"/>
        <family val="1"/>
        <scheme val="major"/>
      </rPr>
      <t>רק</t>
    </r>
    <r>
      <rPr>
        <sz val="11"/>
        <rFont val="Times New Roman"/>
        <family val="1"/>
        <scheme val="major"/>
      </rPr>
      <t xml:space="preserve">  את  התאים  הממורקרים בתכלת בלבד.</t>
    </r>
  </si>
  <si>
    <t>נא לבחור ציוד מטבח מסוג אחד בלבד: מחמם או מבשל</t>
  </si>
  <si>
    <t>ציוד מחסן - מדפים (לפי מספר חדרים)</t>
  </si>
  <si>
    <t xml:space="preserve">·        מסגרת קטנה  - 18-30 אנשים </t>
  </si>
  <si>
    <t xml:space="preserve">·        מסגרת בינונית  - 31-60 אנשים </t>
  </si>
  <si>
    <r>
      <t xml:space="preserve">בקטגוריה זו עליך למלא בקשה לציוד למטבח מחמם </t>
    </r>
    <r>
      <rPr>
        <b/>
        <u/>
        <sz val="11"/>
        <color rgb="FFC00000"/>
        <rFont val="Times New Roman"/>
        <family val="1"/>
        <scheme val="major"/>
      </rPr>
      <t xml:space="preserve">או </t>
    </r>
    <r>
      <rPr>
        <b/>
        <sz val="11"/>
        <color rgb="FFC00000"/>
        <rFont val="Times New Roman"/>
        <family val="1"/>
        <scheme val="major"/>
      </rPr>
      <t xml:space="preserve"> בקשה לציוד למטבח מבשל, בהתאם לאישורים ואופן הפעלת המטבח במסגרת + ציוד וריהוט לחדר האוכל.</t>
    </r>
  </si>
  <si>
    <r>
      <t xml:space="preserve">ציוד מטבח </t>
    </r>
    <r>
      <rPr>
        <b/>
        <u/>
        <sz val="14"/>
        <color rgb="FFC00000"/>
        <rFont val="Times New Roman"/>
        <family val="1"/>
        <scheme val="major"/>
      </rPr>
      <t>מחמם</t>
    </r>
    <r>
      <rPr>
        <b/>
        <sz val="14"/>
        <rFont val="Times New Roman"/>
        <family val="1"/>
        <scheme val="major"/>
      </rPr>
      <t xml:space="preserve"> - תקן</t>
    </r>
  </si>
  <si>
    <r>
      <t xml:space="preserve">ציוד מטבח </t>
    </r>
    <r>
      <rPr>
        <b/>
        <u/>
        <sz val="14"/>
        <color rgb="FFC00000"/>
        <rFont val="Times New Roman"/>
        <family val="1"/>
        <scheme val="major"/>
      </rPr>
      <t>מבשל</t>
    </r>
    <r>
      <rPr>
        <b/>
        <sz val="14"/>
        <rFont val="Times New Roman"/>
        <family val="1"/>
        <scheme val="major"/>
      </rPr>
      <t xml:space="preserve"> - תקן </t>
    </r>
  </si>
  <si>
    <t>יש למלא סכום מקסימלי לפי קול קורא:</t>
  </si>
  <si>
    <t>סכום מקסימלי לפי קול קורא: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</si>
</sst>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#,##0.00"/>
    <numFmt numFmtId="165" formatCode="#,##0_ ;[Red]\-#,##0\ "/>
    <numFmt numFmtId="166" formatCode="_ * #,##0_ ;_ * \-#,##0_ ;_ * &quot;-&quot;??_ ;_ @_ "/>
    <numFmt numFmtId="167" formatCode="#,###,##0"/>
    <numFmt numFmtId="168" formatCode="dd/mm/yy"/>
    <numFmt numFmtId="169" formatCode="&quot;₪&quot;\ #,##0"/>
  </numFmts>
  <fonts count="3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1"/>
      <name val="Times New Roman"/>
      <family val="1"/>
    </font>
    <font>
      <u/>
      <sz val="11"/>
      <name val="Times New Roman"/>
      <family val="1"/>
      <scheme val="major"/>
    </font>
    <font>
      <sz val="11"/>
      <name val="Times New Roman"/>
      <family val="1"/>
      <scheme val="major"/>
    </font>
    <font>
      <b/>
      <sz val="11"/>
      <name val="Times New Roman"/>
      <family val="1"/>
      <scheme val="major"/>
    </font>
    <font>
      <b/>
      <i/>
      <sz val="1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rgb="FFFF0000"/>
      <name val="Times New Roman"/>
      <family val="1"/>
    </font>
    <font>
      <b/>
      <sz val="14"/>
      <name val="Times New Roman"/>
      <family val="1"/>
      <scheme val="major"/>
    </font>
    <font>
      <b/>
      <sz val="11"/>
      <color theme="1"/>
      <name val="Arial"/>
      <family val="2"/>
      <charset val="177"/>
      <scheme val="minor"/>
    </font>
    <font>
      <b/>
      <sz val="11"/>
      <name val="Times New Roman"/>
      <family val="1"/>
      <charset val="177"/>
      <scheme val="major"/>
    </font>
    <font>
      <u/>
      <sz val="11"/>
      <color theme="10"/>
      <name val="Arial"/>
      <family val="2"/>
      <charset val="177"/>
    </font>
    <font>
      <sz val="11"/>
      <color theme="1"/>
      <name val="Times New Roman"/>
      <family val="1"/>
      <charset val="177"/>
    </font>
    <font>
      <u/>
      <sz val="14"/>
      <color theme="1"/>
      <name val="Times New Roman"/>
      <family val="1"/>
      <charset val="177"/>
    </font>
    <font>
      <sz val="12"/>
      <color theme="1"/>
      <name val="Times New Roman"/>
      <family val="1"/>
      <charset val="177"/>
    </font>
    <font>
      <sz val="11"/>
      <name val="Times New Roman"/>
      <family val="1"/>
      <charset val="177"/>
    </font>
    <font>
      <u/>
      <sz val="11"/>
      <color theme="1"/>
      <name val="Times New Roman"/>
      <family val="1"/>
      <charset val="177"/>
    </font>
    <font>
      <u/>
      <sz val="11"/>
      <name val="Times New Roman"/>
      <family val="1"/>
    </font>
    <font>
      <sz val="9"/>
      <color rgb="FFFF0000"/>
      <name val="Times New Roman"/>
      <family val="1"/>
      <charset val="177"/>
    </font>
    <font>
      <sz val="11"/>
      <color theme="1"/>
      <name val="Times New Roman"/>
      <family val="1"/>
    </font>
    <font>
      <b/>
      <sz val="12"/>
      <color rgb="FF800000"/>
      <name val="Times New Roman"/>
      <family val="1"/>
    </font>
    <font>
      <b/>
      <sz val="11"/>
      <color rgb="FF0000FF"/>
      <name val="Times New Roman"/>
      <family val="1"/>
    </font>
    <font>
      <sz val="14"/>
      <color theme="1"/>
      <name val="Times New Roman"/>
      <family val="1"/>
      <charset val="177"/>
    </font>
    <font>
      <b/>
      <sz val="14"/>
      <color rgb="FF800000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  <scheme val="major"/>
    </font>
    <font>
      <sz val="12"/>
      <color theme="1"/>
      <name val="Arial"/>
      <family val="2"/>
      <charset val="177"/>
      <scheme val="minor"/>
    </font>
    <font>
      <b/>
      <sz val="11"/>
      <color rgb="FFFF0000"/>
      <name val="Times New Roman"/>
      <family val="1"/>
      <scheme val="major"/>
    </font>
    <font>
      <b/>
      <u/>
      <sz val="11"/>
      <name val="Times New Roman"/>
      <family val="1"/>
      <scheme val="major"/>
    </font>
    <font>
      <b/>
      <sz val="11"/>
      <color rgb="FFC00000"/>
      <name val="Times New Roman"/>
      <family val="1"/>
      <scheme val="major"/>
    </font>
    <font>
      <b/>
      <u/>
      <sz val="11"/>
      <color rgb="FFC00000"/>
      <name val="Times New Roman"/>
      <family val="1"/>
      <scheme val="major"/>
    </font>
    <font>
      <b/>
      <sz val="12"/>
      <color rgb="FFC00000"/>
      <name val="Times New Roman"/>
      <family val="1"/>
      <scheme val="major"/>
    </font>
    <font>
      <b/>
      <u/>
      <sz val="14"/>
      <color rgb="FFC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9" fillId="0" borderId="3" xfId="0" applyFont="1" applyBorder="1" applyAlignment="1" applyProtection="1"/>
    <xf numFmtId="0" fontId="9" fillId="0" borderId="4" xfId="0" applyFont="1" applyBorder="1" applyAlignment="1" applyProtection="1"/>
    <xf numFmtId="0" fontId="9" fillId="0" borderId="2" xfId="0" applyFont="1" applyBorder="1" applyAlignment="1" applyProtection="1"/>
    <xf numFmtId="164" fontId="9" fillId="0" borderId="1" xfId="1" applyNumberFormat="1" applyFont="1" applyFill="1" applyBorder="1" applyAlignment="1" applyProtection="1">
      <alignment horizontal="right" wrapText="1"/>
    </xf>
    <xf numFmtId="0" fontId="9" fillId="0" borderId="1" xfId="1" applyNumberFormat="1" applyFont="1" applyFill="1" applyBorder="1" applyAlignment="1" applyProtection="1">
      <alignment wrapText="1"/>
    </xf>
    <xf numFmtId="165" fontId="10" fillId="0" borderId="1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/>
    <xf numFmtId="167" fontId="9" fillId="3" borderId="1" xfId="1" applyNumberFormat="1" applyFont="1" applyFill="1" applyBorder="1" applyAlignment="1" applyProtection="1">
      <alignment wrapText="1"/>
      <protection locked="0"/>
    </xf>
    <xf numFmtId="167" fontId="9" fillId="3" borderId="1" xfId="1" applyNumberFormat="1" applyFont="1" applyFill="1" applyBorder="1" applyAlignment="1" applyProtection="1">
      <alignment horizontal="right" wrapText="1"/>
      <protection locked="0"/>
    </xf>
    <xf numFmtId="166" fontId="9" fillId="0" borderId="1" xfId="6" applyNumberFormat="1" applyFont="1" applyFill="1" applyBorder="1" applyAlignment="1" applyProtection="1">
      <alignment wrapText="1"/>
    </xf>
    <xf numFmtId="164" fontId="9" fillId="0" borderId="1" xfId="1" applyNumberFormat="1" applyFont="1" applyFill="1" applyBorder="1" applyAlignment="1" applyProtection="1">
      <alignment wrapText="1"/>
    </xf>
    <xf numFmtId="166" fontId="9" fillId="0" borderId="1" xfId="6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wrapText="1"/>
    </xf>
    <xf numFmtId="164" fontId="9" fillId="0" borderId="0" xfId="1" applyNumberFormat="1" applyFont="1" applyFill="1" applyBorder="1" applyAlignment="1" applyProtection="1">
      <alignment horizontal="right" wrapText="1"/>
    </xf>
    <xf numFmtId="165" fontId="9" fillId="0" borderId="0" xfId="0" applyNumberFormat="1" applyFont="1" applyFill="1" applyBorder="1" applyAlignment="1" applyProtection="1"/>
    <xf numFmtId="166" fontId="9" fillId="0" borderId="0" xfId="6" applyNumberFormat="1" applyFont="1" applyFill="1" applyBorder="1" applyAlignment="1" applyProtection="1">
      <alignment wrapText="1"/>
    </xf>
    <xf numFmtId="0" fontId="9" fillId="0" borderId="7" xfId="1" applyNumberFormat="1" applyFont="1" applyFill="1" applyBorder="1" applyAlignment="1" applyProtection="1">
      <alignment wrapText="1"/>
    </xf>
    <xf numFmtId="165" fontId="9" fillId="0" borderId="5" xfId="0" applyNumberFormat="1" applyFont="1" applyFill="1" applyBorder="1" applyAlignment="1" applyProtection="1"/>
    <xf numFmtId="0" fontId="9" fillId="0" borderId="6" xfId="1" applyNumberFormat="1" applyFont="1" applyFill="1" applyBorder="1" applyAlignment="1" applyProtection="1">
      <alignment wrapText="1"/>
    </xf>
    <xf numFmtId="0" fontId="9" fillId="0" borderId="3" xfId="0" applyFont="1" applyFill="1" applyBorder="1" applyAlignment="1" applyProtection="1">
      <alignment horizontal="right" wrapText="1"/>
    </xf>
    <xf numFmtId="164" fontId="9" fillId="0" borderId="2" xfId="1" applyNumberFormat="1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164" fontId="9" fillId="0" borderId="1" xfId="1" applyNumberFormat="1" applyFont="1" applyFill="1" applyBorder="1" applyAlignment="1" applyProtection="1">
      <alignment horizontal="right"/>
    </xf>
    <xf numFmtId="0" fontId="9" fillId="0" borderId="8" xfId="1" applyNumberFormat="1" applyFont="1" applyFill="1" applyBorder="1" applyAlignment="1" applyProtection="1">
      <alignment wrapText="1"/>
    </xf>
    <xf numFmtId="0" fontId="9" fillId="0" borderId="2" xfId="0" applyFont="1" applyFill="1" applyBorder="1" applyAlignment="1" applyProtection="1">
      <alignment horizontal="right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0" xfId="0" applyFont="1" applyFill="1" applyAlignment="1" applyProtection="1"/>
    <xf numFmtId="0" fontId="9" fillId="0" borderId="1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wrapText="1" readingOrder="2"/>
    </xf>
    <xf numFmtId="38" fontId="12" fillId="0" borderId="2" xfId="0" applyNumberFormat="1" applyFont="1" applyBorder="1" applyAlignment="1" applyProtection="1"/>
    <xf numFmtId="164" fontId="9" fillId="0" borderId="3" xfId="0" applyNumberFormat="1" applyFont="1" applyFill="1" applyBorder="1" applyAlignment="1" applyProtection="1">
      <alignment horizontal="right" wrapText="1"/>
    </xf>
    <xf numFmtId="0" fontId="9" fillId="0" borderId="4" xfId="0" applyFont="1" applyFill="1" applyBorder="1" applyAlignment="1" applyProtection="1">
      <alignment horizontal="right" wrapText="1"/>
    </xf>
    <xf numFmtId="164" fontId="9" fillId="0" borderId="1" xfId="0" applyNumberFormat="1" applyFont="1" applyFill="1" applyBorder="1" applyAlignment="1" applyProtection="1">
      <alignment horizontal="right" wrapText="1"/>
    </xf>
    <xf numFmtId="165" fontId="9" fillId="4" borderId="1" xfId="1" applyNumberFormat="1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 wrapText="1"/>
    </xf>
    <xf numFmtId="0" fontId="7" fillId="0" borderId="4" xfId="0" applyFont="1" applyFill="1" applyBorder="1" applyAlignment="1" applyProtection="1">
      <alignment horizontal="right" wrapText="1" readingOrder="2"/>
    </xf>
    <xf numFmtId="0" fontId="10" fillId="0" borderId="0" xfId="0" applyFont="1" applyFill="1" applyAlignment="1" applyProtection="1"/>
    <xf numFmtId="164" fontId="9" fillId="0" borderId="3" xfId="1" applyNumberFormat="1" applyFont="1" applyFill="1" applyBorder="1" applyAlignment="1" applyProtection="1">
      <alignment horizontal="right" wrapText="1"/>
    </xf>
    <xf numFmtId="0" fontId="16" fillId="0" borderId="0" xfId="1" applyNumberFormat="1" applyFont="1" applyFill="1" applyBorder="1" applyAlignment="1" applyProtection="1">
      <alignment wrapText="1"/>
    </xf>
    <xf numFmtId="164" fontId="16" fillId="0" borderId="0" xfId="1" applyNumberFormat="1" applyFont="1" applyFill="1" applyBorder="1" applyAlignment="1" applyProtection="1">
      <alignment horizontal="right" wrapText="1"/>
    </xf>
    <xf numFmtId="165" fontId="16" fillId="0" borderId="0" xfId="0" applyNumberFormat="1" applyFont="1" applyFill="1" applyBorder="1" applyAlignment="1" applyProtection="1"/>
    <xf numFmtId="166" fontId="16" fillId="0" borderId="0" xfId="6" applyNumberFormat="1" applyFont="1" applyFill="1" applyBorder="1" applyAlignment="1" applyProtection="1">
      <alignment wrapText="1"/>
    </xf>
    <xf numFmtId="164" fontId="10" fillId="0" borderId="3" xfId="1" applyNumberFormat="1" applyFont="1" applyFill="1" applyBorder="1" applyAlignment="1" applyProtection="1">
      <alignment horizontal="center" wrapText="1"/>
    </xf>
    <xf numFmtId="164" fontId="10" fillId="0" borderId="4" xfId="1" applyNumberFormat="1" applyFont="1" applyFill="1" applyBorder="1" applyAlignment="1" applyProtection="1">
      <alignment horizontal="center" wrapText="1"/>
    </xf>
    <xf numFmtId="164" fontId="10" fillId="0" borderId="3" xfId="0" applyNumberFormat="1" applyFont="1" applyFill="1" applyBorder="1" applyAlignment="1" applyProtection="1">
      <alignment horizontal="right" wrapText="1"/>
    </xf>
    <xf numFmtId="168" fontId="7" fillId="2" borderId="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38" fontId="26" fillId="2" borderId="1" xfId="0" applyNumberFormat="1" applyFont="1" applyFill="1" applyBorder="1" applyAlignment="1" applyProtection="1">
      <alignment horizontal="right"/>
      <protection locked="0"/>
    </xf>
    <xf numFmtId="14" fontId="18" fillId="3" borderId="11" xfId="0" applyNumberFormat="1" applyFont="1" applyFill="1" applyBorder="1" applyAlignment="1" applyProtection="1">
      <alignment horizontal="right"/>
      <protection locked="0"/>
    </xf>
    <xf numFmtId="0" fontId="18" fillId="3" borderId="11" xfId="0" applyFont="1" applyFill="1" applyBorder="1" applyAlignment="1" applyProtection="1">
      <alignment horizontal="right"/>
      <protection locked="0"/>
    </xf>
    <xf numFmtId="0" fontId="17" fillId="3" borderId="11" xfId="9" applyFont="1" applyFill="1" applyBorder="1" applyAlignment="1" applyProtection="1">
      <alignment horizontal="right"/>
      <protection locked="0"/>
    </xf>
    <xf numFmtId="3" fontId="9" fillId="0" borderId="1" xfId="1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 applyProtection="1">
      <alignment horizontal="right" wrapText="1"/>
    </xf>
    <xf numFmtId="0" fontId="25" fillId="0" borderId="0" xfId="0" applyFont="1" applyFill="1" applyAlignment="1" applyProtection="1">
      <alignment horizontal="right"/>
    </xf>
    <xf numFmtId="14" fontId="25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25" fillId="0" borderId="1" xfId="0" applyFont="1" applyFill="1" applyBorder="1" applyAlignment="1" applyProtection="1">
      <alignment horizontal="right" wrapText="1"/>
    </xf>
    <xf numFmtId="0" fontId="25" fillId="0" borderId="1" xfId="0" applyFont="1" applyFill="1" applyBorder="1" applyAlignment="1" applyProtection="1">
      <alignment horizontal="right"/>
    </xf>
    <xf numFmtId="3" fontId="25" fillId="0" borderId="1" xfId="0" applyNumberFormat="1" applyFont="1" applyFill="1" applyBorder="1" applyAlignment="1" applyProtection="1">
      <alignment horizontal="right"/>
    </xf>
    <xf numFmtId="169" fontId="25" fillId="0" borderId="1" xfId="6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9" fontId="25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Alignment="1" applyProtection="1">
      <alignment horizontal="right"/>
    </xf>
    <xf numFmtId="0" fontId="30" fillId="0" borderId="0" xfId="0" applyFont="1" applyFill="1" applyAlignment="1" applyProtection="1">
      <alignment horizontal="right"/>
    </xf>
    <xf numFmtId="0" fontId="30" fillId="0" borderId="1" xfId="0" applyFont="1" applyFill="1" applyBorder="1" applyAlignment="1" applyProtection="1">
      <alignment horizontal="right"/>
    </xf>
    <xf numFmtId="0" fontId="30" fillId="0" borderId="1" xfId="0" applyFont="1" applyFill="1" applyBorder="1" applyAlignment="1" applyProtection="1">
      <alignment horizontal="right" wrapText="1"/>
    </xf>
    <xf numFmtId="0" fontId="27" fillId="0" borderId="0" xfId="0" applyFont="1" applyFill="1" applyAlignment="1" applyProtection="1">
      <alignment horizontal="right"/>
    </xf>
    <xf numFmtId="165" fontId="25" fillId="0" borderId="1" xfId="6" applyNumberFormat="1" applyFont="1" applyFill="1" applyBorder="1" applyAlignment="1" applyProtection="1">
      <alignment horizontal="right"/>
    </xf>
    <xf numFmtId="165" fontId="25" fillId="0" borderId="0" xfId="0" applyNumberFormat="1" applyFont="1" applyFill="1" applyAlignment="1" applyProtection="1">
      <alignment horizontal="right"/>
    </xf>
    <xf numFmtId="165" fontId="25" fillId="0" borderId="0" xfId="6" applyNumberFormat="1" applyFont="1" applyFill="1" applyBorder="1" applyAlignment="1" applyProtection="1">
      <alignment horizontal="right"/>
    </xf>
    <xf numFmtId="165" fontId="30" fillId="0" borderId="0" xfId="0" applyNumberFormat="1" applyFont="1" applyFill="1" applyAlignment="1" applyProtection="1">
      <alignment horizontal="right"/>
    </xf>
    <xf numFmtId="165" fontId="30" fillId="0" borderId="1" xfId="6" applyNumberFormat="1" applyFont="1" applyFill="1" applyBorder="1" applyAlignment="1" applyProtection="1">
      <alignment horizontal="right"/>
    </xf>
    <xf numFmtId="0" fontId="9" fillId="0" borderId="6" xfId="1" applyNumberFormat="1" applyFont="1" applyFill="1" applyBorder="1" applyAlignment="1" applyProtection="1">
      <alignment horizontal="right" wrapText="1"/>
    </xf>
    <xf numFmtId="164" fontId="9" fillId="0" borderId="3" xfId="1" applyNumberFormat="1" applyFont="1" applyFill="1" applyBorder="1" applyAlignment="1" applyProtection="1">
      <alignment horizontal="right"/>
    </xf>
    <xf numFmtId="164" fontId="10" fillId="0" borderId="3" xfId="1" applyNumberFormat="1" applyFont="1" applyFill="1" applyBorder="1" applyAlignment="1" applyProtection="1">
      <alignment horizontal="right" wrapText="1"/>
    </xf>
    <xf numFmtId="164" fontId="9" fillId="0" borderId="0" xfId="1" applyNumberFormat="1" applyFont="1" applyFill="1" applyBorder="1" applyAlignment="1" applyProtection="1">
      <alignment horizontal="right"/>
    </xf>
    <xf numFmtId="164" fontId="10" fillId="0" borderId="1" xfId="1" applyNumberFormat="1" applyFont="1" applyFill="1" applyBorder="1" applyAlignment="1" applyProtection="1">
      <alignment horizontal="right" wrapText="1"/>
    </xf>
    <xf numFmtId="164" fontId="10" fillId="0" borderId="3" xfId="1" applyNumberFormat="1" applyFont="1" applyFill="1" applyBorder="1" applyAlignment="1" applyProtection="1">
      <alignment horizontal="right"/>
    </xf>
    <xf numFmtId="164" fontId="10" fillId="0" borderId="3" xfId="1" applyNumberFormat="1" applyFont="1" applyFill="1" applyBorder="1" applyAlignment="1" applyProtection="1">
      <alignment horizontal="center"/>
    </xf>
    <xf numFmtId="164" fontId="9" fillId="0" borderId="4" xfId="0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right" readingOrder="2"/>
    </xf>
    <xf numFmtId="0" fontId="9" fillId="0" borderId="0" xfId="0" applyFont="1" applyAlignment="1" applyProtection="1">
      <alignment horizontal="right" readingOrder="2"/>
    </xf>
    <xf numFmtId="0" fontId="9" fillId="0" borderId="0" xfId="0" applyFont="1" applyProtection="1"/>
    <xf numFmtId="14" fontId="9" fillId="0" borderId="0" xfId="0" applyNumberFormat="1" applyFont="1" applyAlignment="1" applyProtection="1">
      <alignment horizontal="right" readingOrder="2"/>
    </xf>
    <xf numFmtId="0" fontId="8" fillId="0" borderId="0" xfId="0" quotePrefix="1" applyFont="1" applyAlignment="1" applyProtection="1">
      <alignment horizontal="right" readingOrder="2"/>
    </xf>
    <xf numFmtId="0" fontId="9" fillId="3" borderId="0" xfId="0" applyFont="1" applyFill="1" applyAlignment="1" applyProtection="1"/>
    <xf numFmtId="0" fontId="34" fillId="0" borderId="0" xfId="0" applyFont="1" applyAlignment="1" applyProtection="1">
      <alignment horizontal="right" readingOrder="2"/>
    </xf>
    <xf numFmtId="0" fontId="13" fillId="0" borderId="0" xfId="0" applyFont="1" applyFill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9" fillId="0" borderId="3" xfId="0" applyFont="1" applyFill="1" applyBorder="1" applyAlignment="1" applyProtection="1"/>
    <xf numFmtId="0" fontId="9" fillId="0" borderId="1" xfId="0" applyFont="1" applyFill="1" applyBorder="1" applyAlignment="1" applyProtection="1">
      <alignment horizontal="right"/>
    </xf>
    <xf numFmtId="166" fontId="9" fillId="0" borderId="1" xfId="6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/>
    <xf numFmtId="0" fontId="9" fillId="0" borderId="9" xfId="0" applyFont="1" applyFill="1" applyBorder="1" applyAlignment="1" applyProtection="1"/>
    <xf numFmtId="3" fontId="9" fillId="0" borderId="9" xfId="0" applyNumberFormat="1" applyFont="1" applyFill="1" applyBorder="1" applyAlignment="1" applyProtection="1">
      <alignment horizontal="right"/>
    </xf>
    <xf numFmtId="38" fontId="12" fillId="0" borderId="3" xfId="0" applyNumberFormat="1" applyFont="1" applyFill="1" applyBorder="1" applyAlignment="1" applyProtection="1"/>
    <xf numFmtId="38" fontId="12" fillId="0" borderId="4" xfId="0" applyNumberFormat="1" applyFont="1" applyFill="1" applyBorder="1" applyAlignment="1" applyProtection="1"/>
    <xf numFmtId="165" fontId="11" fillId="0" borderId="1" xfId="0" applyNumberFormat="1" applyFont="1" applyFill="1" applyBorder="1" applyAlignment="1" applyProtection="1"/>
    <xf numFmtId="0" fontId="9" fillId="0" borderId="4" xfId="0" applyFont="1" applyFill="1" applyBorder="1" applyAlignment="1" applyProtection="1"/>
    <xf numFmtId="166" fontId="16" fillId="0" borderId="10" xfId="6" applyNumberFormat="1" applyFont="1" applyFill="1" applyBorder="1" applyAlignment="1" applyProtection="1">
      <alignment horizontal="right"/>
    </xf>
    <xf numFmtId="166" fontId="16" fillId="0" borderId="2" xfId="6" applyNumberFormat="1" applyFont="1" applyFill="1" applyBorder="1" applyAlignment="1" applyProtection="1">
      <alignment horizontal="right"/>
    </xf>
    <xf numFmtId="166" fontId="16" fillId="0" borderId="4" xfId="6" applyNumberFormat="1" applyFont="1" applyFill="1" applyBorder="1" applyAlignment="1" applyProtection="1">
      <alignment horizontal="right"/>
    </xf>
    <xf numFmtId="166" fontId="16" fillId="0" borderId="3" xfId="6" applyNumberFormat="1" applyFont="1" applyFill="1" applyBorder="1" applyAlignment="1" applyProtection="1">
      <alignment horizontal="right"/>
    </xf>
    <xf numFmtId="164" fontId="16" fillId="0" borderId="3" xfId="1" applyNumberFormat="1" applyFont="1" applyFill="1" applyBorder="1" applyAlignment="1" applyProtection="1">
      <alignment horizontal="right" wrapText="1"/>
    </xf>
    <xf numFmtId="164" fontId="16" fillId="0" borderId="3" xfId="1" applyNumberFormat="1" applyFont="1" applyFill="1" applyBorder="1" applyAlignment="1" applyProtection="1">
      <alignment horizontal="center" wrapText="1"/>
    </xf>
    <xf numFmtId="164" fontId="16" fillId="0" borderId="4" xfId="1" applyNumberFormat="1" applyFont="1" applyFill="1" applyBorder="1" applyAlignment="1" applyProtection="1">
      <alignment horizontal="center" wrapText="1"/>
    </xf>
    <xf numFmtId="165" fontId="16" fillId="0" borderId="1" xfId="0" applyNumberFormat="1" applyFont="1" applyFill="1" applyBorder="1" applyAlignment="1" applyProtection="1"/>
    <xf numFmtId="0" fontId="10" fillId="0" borderId="1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18" fillId="0" borderId="16" xfId="0" applyFont="1" applyFill="1" applyBorder="1" applyProtection="1"/>
    <xf numFmtId="0" fontId="18" fillId="0" borderId="12" xfId="0" applyFont="1" applyBorder="1" applyProtection="1"/>
    <xf numFmtId="0" fontId="18" fillId="0" borderId="13" xfId="0" applyFont="1" applyBorder="1" applyProtection="1"/>
    <xf numFmtId="0" fontId="18" fillId="0" borderId="13" xfId="0" applyFont="1" applyBorder="1" applyAlignment="1" applyProtection="1">
      <alignment horizontal="right"/>
    </xf>
    <xf numFmtId="0" fontId="18" fillId="0" borderId="14" xfId="0" applyFont="1" applyBorder="1" applyProtection="1"/>
    <xf numFmtId="0" fontId="18" fillId="0" borderId="0" xfId="0" applyFont="1" applyProtection="1"/>
    <xf numFmtId="0" fontId="20" fillId="0" borderId="15" xfId="0" applyFont="1" applyBorder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16" xfId="0" applyFont="1" applyBorder="1" applyAlignment="1" applyProtection="1">
      <alignment horizontal="center"/>
    </xf>
    <xf numFmtId="0" fontId="18" fillId="0" borderId="15" xfId="0" applyFont="1" applyBorder="1" applyProtection="1"/>
    <xf numFmtId="0" fontId="18" fillId="0" borderId="0" xfId="0" applyFont="1" applyBorder="1" applyAlignment="1" applyProtection="1">
      <alignment horizontal="right"/>
    </xf>
    <xf numFmtId="0" fontId="18" fillId="0" borderId="0" xfId="0" applyFont="1" applyBorder="1" applyProtection="1"/>
    <xf numFmtId="0" fontId="18" fillId="0" borderId="16" xfId="0" applyFont="1" applyBorder="1" applyProtection="1"/>
    <xf numFmtId="0" fontId="18" fillId="0" borderId="0" xfId="0" applyFont="1" applyBorder="1" applyAlignment="1" applyProtection="1"/>
    <xf numFmtId="0" fontId="18" fillId="0" borderId="17" xfId="0" applyFont="1" applyBorder="1" applyProtection="1"/>
    <xf numFmtId="0" fontId="18" fillId="0" borderId="11" xfId="0" applyFont="1" applyBorder="1" applyAlignment="1" applyProtection="1"/>
    <xf numFmtId="0" fontId="18" fillId="0" borderId="11" xfId="0" applyFont="1" applyBorder="1" applyAlignment="1" applyProtection="1">
      <alignment horizontal="right"/>
    </xf>
    <xf numFmtId="0" fontId="18" fillId="0" borderId="11" xfId="0" applyFont="1" applyBorder="1" applyProtection="1"/>
    <xf numFmtId="0" fontId="18" fillId="0" borderId="10" xfId="0" applyFont="1" applyBorder="1" applyProtection="1"/>
    <xf numFmtId="0" fontId="20" fillId="0" borderId="12" xfId="0" applyFont="1" applyBorder="1" applyProtection="1"/>
    <xf numFmtId="0" fontId="18" fillId="0" borderId="13" xfId="0" applyFont="1" applyBorder="1" applyAlignment="1" applyProtection="1"/>
    <xf numFmtId="0" fontId="18" fillId="0" borderId="15" xfId="0" applyFont="1" applyFill="1" applyBorder="1" applyProtection="1"/>
    <xf numFmtId="0" fontId="18" fillId="0" borderId="0" xfId="0" applyFont="1" applyFill="1" applyBorder="1" applyAlignment="1" applyProtection="1"/>
    <xf numFmtId="0" fontId="18" fillId="0" borderId="11" xfId="0" applyFont="1" applyFill="1" applyBorder="1" applyAlignment="1" applyProtection="1"/>
    <xf numFmtId="0" fontId="22" fillId="0" borderId="13" xfId="0" applyFont="1" applyBorder="1" applyProtection="1"/>
    <xf numFmtId="0" fontId="9" fillId="3" borderId="1" xfId="0" applyFont="1" applyFill="1" applyBorder="1" applyAlignment="1" applyProtection="1"/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right"/>
    </xf>
    <xf numFmtId="0" fontId="21" fillId="0" borderId="0" xfId="0" applyFont="1" applyFill="1" applyBorder="1" applyProtection="1"/>
    <xf numFmtId="0" fontId="24" fillId="0" borderId="0" xfId="0" applyFont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31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3" fontId="9" fillId="0" borderId="0" xfId="0" applyNumberFormat="1" applyFont="1" applyFill="1" applyAlignment="1" applyProtection="1"/>
    <xf numFmtId="0" fontId="8" fillId="0" borderId="0" xfId="0" applyFont="1" applyFill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/>
    <xf numFmtId="167" fontId="9" fillId="3" borderId="0" xfId="1" applyNumberFormat="1" applyFont="1" applyFill="1" applyBorder="1" applyAlignment="1" applyProtection="1"/>
    <xf numFmtId="0" fontId="9" fillId="0" borderId="0" xfId="0" applyFont="1" applyFill="1" applyAlignment="1" applyProtection="1">
      <alignment horizontal="right"/>
    </xf>
    <xf numFmtId="0" fontId="35" fillId="0" borderId="0" xfId="0" applyFont="1" applyFill="1" applyAlignment="1" applyProtection="1"/>
    <xf numFmtId="0" fontId="33" fillId="0" borderId="0" xfId="0" applyFont="1" applyFill="1" applyAlignment="1" applyProtection="1"/>
    <xf numFmtId="0" fontId="6" fillId="0" borderId="0" xfId="0" applyFont="1" applyFill="1" applyAlignment="1" applyProtection="1"/>
    <xf numFmtId="0" fontId="37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3" fontId="14" fillId="0" borderId="0" xfId="0" applyNumberFormat="1" applyFont="1" applyFill="1" applyAlignment="1" applyProtection="1"/>
    <xf numFmtId="0" fontId="14" fillId="0" borderId="0" xfId="0" applyFont="1" applyFill="1" applyAlignment="1" applyProtection="1"/>
    <xf numFmtId="0" fontId="9" fillId="0" borderId="1" xfId="6" applyNumberFormat="1" applyFont="1" applyFill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wrapText="1"/>
    </xf>
    <xf numFmtId="3" fontId="9" fillId="0" borderId="3" xfId="0" applyNumberFormat="1" applyFont="1" applyBorder="1" applyAlignment="1" applyProtection="1"/>
    <xf numFmtId="0" fontId="9" fillId="0" borderId="1" xfId="6" applyNumberFormat="1" applyFont="1" applyFill="1" applyBorder="1" applyAlignment="1" applyProtection="1">
      <alignment horizontal="right" wrapText="1"/>
    </xf>
    <xf numFmtId="3" fontId="9" fillId="0" borderId="1" xfId="6" applyNumberFormat="1" applyFont="1" applyFill="1" applyBorder="1" applyAlignment="1" applyProtection="1">
      <alignment horizontal="right" wrapText="1"/>
    </xf>
    <xf numFmtId="167" fontId="9" fillId="0" borderId="1" xfId="1" applyNumberFormat="1" applyFont="1" applyFill="1" applyBorder="1" applyAlignment="1" applyProtection="1">
      <alignment wrapText="1"/>
    </xf>
    <xf numFmtId="167" fontId="9" fillId="0" borderId="1" xfId="1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 applyProtection="1"/>
    <xf numFmtId="9" fontId="9" fillId="0" borderId="1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>
      <alignment horizontal="right"/>
    </xf>
    <xf numFmtId="167" fontId="9" fillId="0" borderId="0" xfId="1" applyNumberFormat="1" applyFont="1" applyFill="1" applyBorder="1" applyAlignment="1" applyProtection="1">
      <alignment wrapText="1"/>
    </xf>
    <xf numFmtId="164" fontId="9" fillId="0" borderId="0" xfId="1" applyNumberFormat="1" applyFont="1" applyFill="1" applyBorder="1" applyAlignment="1" applyProtection="1">
      <alignment wrapText="1"/>
    </xf>
    <xf numFmtId="0" fontId="9" fillId="0" borderId="0" xfId="0" applyFont="1" applyFill="1" applyBorder="1" applyAlignment="1" applyProtection="1"/>
    <xf numFmtId="3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Alignment="1" applyProtection="1"/>
    <xf numFmtId="0" fontId="9" fillId="0" borderId="2" xfId="0" applyFont="1" applyFill="1" applyBorder="1" applyAlignment="1" applyProtection="1"/>
    <xf numFmtId="167" fontId="9" fillId="0" borderId="3" xfId="1" applyNumberFormat="1" applyFont="1" applyFill="1" applyBorder="1" applyAlignment="1" applyProtection="1">
      <alignment wrapText="1"/>
    </xf>
    <xf numFmtId="167" fontId="9" fillId="0" borderId="4" xfId="1" applyNumberFormat="1" applyFont="1" applyFill="1" applyBorder="1" applyAlignment="1" applyProtection="1">
      <alignment wrapText="1"/>
    </xf>
    <xf numFmtId="167" fontId="9" fillId="0" borderId="2" xfId="1" applyNumberFormat="1" applyFont="1" applyFill="1" applyBorder="1" applyAlignment="1" applyProtection="1">
      <alignment wrapText="1"/>
    </xf>
    <xf numFmtId="0" fontId="9" fillId="0" borderId="2" xfId="6" applyNumberFormat="1" applyFont="1" applyFill="1" applyBorder="1" applyAlignment="1" applyProtection="1">
      <alignment horizontal="right" wrapText="1"/>
    </xf>
    <xf numFmtId="0" fontId="9" fillId="0" borderId="4" xfId="6" applyNumberFormat="1" applyFont="1" applyFill="1" applyBorder="1" applyAlignment="1" applyProtection="1">
      <alignment horizontal="right" wrapText="1"/>
    </xf>
    <xf numFmtId="0" fontId="10" fillId="0" borderId="2" xfId="0" applyFont="1" applyFill="1" applyBorder="1" applyProtection="1"/>
    <xf numFmtId="167" fontId="10" fillId="0" borderId="4" xfId="1" applyNumberFormat="1" applyFont="1" applyFill="1" applyBorder="1" applyAlignment="1" applyProtection="1">
      <alignment wrapText="1"/>
    </xf>
    <xf numFmtId="167" fontId="10" fillId="0" borderId="1" xfId="1" applyNumberFormat="1" applyFont="1" applyFill="1" applyBorder="1" applyAlignment="1" applyProtection="1">
      <alignment wrapText="1"/>
    </xf>
    <xf numFmtId="167" fontId="10" fillId="0" borderId="3" xfId="1" applyNumberFormat="1" applyFont="1" applyFill="1" applyBorder="1" applyAlignment="1" applyProtection="1">
      <alignment wrapText="1"/>
    </xf>
    <xf numFmtId="167" fontId="10" fillId="0" borderId="2" xfId="1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/>
    <xf numFmtId="9" fontId="10" fillId="0" borderId="2" xfId="0" applyNumberFormat="1" applyFont="1" applyFill="1" applyBorder="1" applyAlignment="1" applyProtection="1"/>
    <xf numFmtId="0" fontId="10" fillId="0" borderId="0" xfId="0" applyFont="1" applyFill="1" applyAlignment="1" applyProtection="1">
      <alignment horizontal="right"/>
    </xf>
    <xf numFmtId="3" fontId="10" fillId="0" borderId="0" xfId="0" applyNumberFormat="1" applyFont="1" applyFill="1" applyAlignment="1" applyProtection="1">
      <alignment horizontal="right"/>
    </xf>
    <xf numFmtId="3" fontId="9" fillId="0" borderId="1" xfId="6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wrapText="1"/>
    </xf>
    <xf numFmtId="3" fontId="9" fillId="0" borderId="0" xfId="1" applyNumberFormat="1" applyFont="1" applyFill="1" applyBorder="1" applyAlignment="1" applyProtection="1">
      <alignment horizontal="right" wrapText="1"/>
    </xf>
    <xf numFmtId="165" fontId="9" fillId="0" borderId="0" xfId="0" applyNumberFormat="1" applyFont="1" applyFill="1" applyAlignment="1" applyProtection="1"/>
    <xf numFmtId="3" fontId="6" fillId="0" borderId="0" xfId="0" applyNumberFormat="1" applyFont="1" applyFill="1" applyAlignment="1" applyProtection="1">
      <alignment horizontal="right"/>
    </xf>
    <xf numFmtId="0" fontId="32" fillId="0" borderId="0" xfId="0" applyFont="1" applyFill="1" applyProtection="1"/>
    <xf numFmtId="3" fontId="9" fillId="0" borderId="0" xfId="0" applyNumberFormat="1" applyFont="1" applyAlignment="1" applyProtection="1">
      <alignment horizontal="right"/>
    </xf>
    <xf numFmtId="0" fontId="0" fillId="0" borderId="0" xfId="0" applyProtection="1"/>
    <xf numFmtId="0" fontId="0" fillId="0" borderId="0" xfId="0" applyFill="1" applyProtection="1"/>
    <xf numFmtId="3" fontId="9" fillId="0" borderId="3" xfId="0" applyNumberFormat="1" applyFont="1" applyBorder="1" applyAlignment="1" applyProtection="1">
      <alignment horizontal="right"/>
    </xf>
    <xf numFmtId="0" fontId="0" fillId="0" borderId="0" xfId="0" applyAlignment="1" applyProtection="1"/>
    <xf numFmtId="0" fontId="9" fillId="0" borderId="0" xfId="1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wrapText="1"/>
    </xf>
    <xf numFmtId="167" fontId="16" fillId="0" borderId="0" xfId="1" applyNumberFormat="1" applyFont="1" applyFill="1" applyBorder="1" applyAlignment="1" applyProtection="1">
      <alignment wrapText="1"/>
    </xf>
    <xf numFmtId="164" fontId="16" fillId="0" borderId="0" xfId="1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/>
    <xf numFmtId="3" fontId="16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/>
    <xf numFmtId="0" fontId="15" fillId="0" borderId="0" xfId="0" applyFont="1" applyProtection="1"/>
    <xf numFmtId="0" fontId="16" fillId="0" borderId="2" xfId="0" applyFont="1" applyFill="1" applyBorder="1" applyProtection="1"/>
    <xf numFmtId="167" fontId="16" fillId="0" borderId="1" xfId="1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right"/>
    </xf>
    <xf numFmtId="9" fontId="16" fillId="0" borderId="2" xfId="0" applyNumberFormat="1" applyFont="1" applyFill="1" applyBorder="1" applyAlignment="1" applyProtection="1">
      <alignment horizontal="right"/>
    </xf>
    <xf numFmtId="9" fontId="16" fillId="0" borderId="4" xfId="0" applyNumberFormat="1" applyFont="1" applyFill="1" applyBorder="1" applyAlignment="1" applyProtection="1"/>
    <xf numFmtId="0" fontId="16" fillId="0" borderId="0" xfId="0" applyFont="1" applyAlignment="1" applyProtection="1"/>
    <xf numFmtId="3" fontId="0" fillId="0" borderId="0" xfId="0" applyNumberFormat="1" applyAlignment="1" applyProtection="1">
      <alignment horizontal="right"/>
    </xf>
    <xf numFmtId="167" fontId="9" fillId="2" borderId="1" xfId="1" applyNumberFormat="1" applyFont="1" applyFill="1" applyBorder="1" applyAlignment="1" applyProtection="1">
      <alignment horizontal="right" wrapText="1"/>
      <protection locked="0"/>
    </xf>
    <xf numFmtId="9" fontId="9" fillId="0" borderId="4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horizontal="right" wrapText="1"/>
      <protection locked="0"/>
    </xf>
    <xf numFmtId="10" fontId="25" fillId="0" borderId="1" xfId="8" applyNumberFormat="1" applyFont="1" applyFill="1" applyBorder="1" applyAlignment="1" applyProtection="1">
      <alignment horizontal="right"/>
    </xf>
    <xf numFmtId="10" fontId="25" fillId="0" borderId="1" xfId="0" applyNumberFormat="1" applyFont="1" applyFill="1" applyBorder="1" applyAlignment="1" applyProtection="1">
      <alignment horizontal="right"/>
    </xf>
    <xf numFmtId="10" fontId="30" fillId="0" borderId="1" xfId="0" applyNumberFormat="1" applyFont="1" applyFill="1" applyBorder="1" applyAlignment="1" applyProtection="1">
      <alignment horizontal="right"/>
    </xf>
    <xf numFmtId="0" fontId="28" fillId="0" borderId="15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28" fillId="0" borderId="16" xfId="0" applyFont="1" applyBorder="1" applyAlignment="1" applyProtection="1">
      <alignment horizontal="center"/>
    </xf>
  </cellXfs>
  <cellStyles count="10">
    <cellStyle name="Comma" xfId="6" builtinId="3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3" xr:uid="{00000000-0005-0000-0000-000005000000}"/>
    <cellStyle name="Normal 3 3" xfId="5" xr:uid="{00000000-0005-0000-0000-000006000000}"/>
    <cellStyle name="Percent" xfId="8" builtinId="5"/>
    <cellStyle name="היפר-קישור" xfId="9" builtinId="8"/>
    <cellStyle name="היפר-קישור 2" xfId="7" xr:uid="{0C5AAC7C-73B6-4D68-BAA6-5C54CACE6185}"/>
  </cellStyles>
  <dxfs count="1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66"/>
      <color rgb="FF99FFCC"/>
      <color rgb="FFCCFFFF"/>
      <color rgb="FFFFFF99"/>
      <color rgb="FFFF9900"/>
      <color rgb="FF0000CC"/>
      <color rgb="FF663300"/>
      <color rgb="FFCCFFCC"/>
      <color rgb="FF99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5E273F45-21C3-49B7-94AF-E85850C058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80684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101843</xdr:rowOff>
    </xdr:from>
    <xdr:to>
      <xdr:col>1</xdr:col>
      <xdr:colOff>1417258</xdr:colOff>
      <xdr:row>6</xdr:row>
      <xdr:rowOff>19526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9B0B031-6E81-4AB7-A116-23EC64033F4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654692" y="101843"/>
          <a:ext cx="1363918" cy="1060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Business\BL\Haya\Recriation\RecreationL7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תיח"/>
      <sheetName val="תוכן עיניינים"/>
      <sheetName val="שאלון למילוי מגיש הבקשה - חובה"/>
      <sheetName val="ציוד כללי"/>
      <sheetName val="מחשוב"/>
      <sheetName val="מתקני כושר לחצר"/>
      <sheetName val="מתקני חדר כושר"/>
      <sheetName val="מתקני חצר לילדים"/>
      <sheetName val="חוגים"/>
      <sheetName val="ציוד נוסף שלא קיים בתקן"/>
      <sheetName val="סיכום"/>
    </sheetNames>
    <sheetDataSet>
      <sheetData sheetId="0" refreshError="1"/>
      <sheetData sheetId="1">
        <row r="9">
          <cell r="B9" t="str">
            <v>ציוד כללי</v>
          </cell>
        </row>
      </sheetData>
      <sheetData sheetId="2">
        <row r="18">
          <cell r="C18" t="str">
            <v>שם המסגרת:</v>
          </cell>
        </row>
      </sheetData>
      <sheetData sheetId="3">
        <row r="55">
          <cell r="O55">
            <v>0</v>
          </cell>
        </row>
      </sheetData>
      <sheetData sheetId="4">
        <row r="25">
          <cell r="O25">
            <v>0</v>
          </cell>
        </row>
      </sheetData>
      <sheetData sheetId="5">
        <row r="14">
          <cell r="O14">
            <v>0</v>
          </cell>
        </row>
      </sheetData>
      <sheetData sheetId="6">
        <row r="13">
          <cell r="O13">
            <v>0</v>
          </cell>
        </row>
      </sheetData>
      <sheetData sheetId="7">
        <row r="14">
          <cell r="O14">
            <v>0</v>
          </cell>
        </row>
      </sheetData>
      <sheetData sheetId="8">
        <row r="15">
          <cell r="O15">
            <v>0</v>
          </cell>
        </row>
      </sheetData>
      <sheetData sheetId="9">
        <row r="28">
          <cell r="L28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A8FC-2BB5-4FD9-93A2-871B65F219D8}">
  <dimension ref="B1:I89"/>
  <sheetViews>
    <sheetView showGridLines="0" rightToLeft="1" zoomScaleNormal="100" workbookViewId="0"/>
  </sheetViews>
  <sheetFormatPr defaultColWidth="9" defaultRowHeight="13.8" x14ac:dyDescent="0.25"/>
  <cols>
    <col min="1" max="1" width="3.3984375" style="86" customWidth="1"/>
    <col min="2" max="4" width="9" style="86"/>
    <col min="5" max="5" width="10.69921875" style="86" bestFit="1" customWidth="1"/>
    <col min="6" max="16384" width="9" style="86"/>
  </cols>
  <sheetData>
    <row r="1" spans="2:7" x14ac:dyDescent="0.25">
      <c r="B1" s="90" t="s">
        <v>64</v>
      </c>
      <c r="C1" s="85"/>
      <c r="D1" s="85"/>
      <c r="E1" s="85"/>
      <c r="F1" s="85"/>
      <c r="G1" s="85"/>
    </row>
    <row r="2" spans="2:7" x14ac:dyDescent="0.25">
      <c r="B2" s="84" t="s">
        <v>34</v>
      </c>
      <c r="C2" s="85"/>
      <c r="D2" s="85"/>
      <c r="E2" s="85"/>
      <c r="F2" s="85"/>
      <c r="G2" s="85"/>
    </row>
    <row r="3" spans="2:7" x14ac:dyDescent="0.25">
      <c r="B3" s="85" t="s">
        <v>35</v>
      </c>
      <c r="C3" s="85"/>
      <c r="D3" s="85"/>
      <c r="E3" s="87">
        <v>45271</v>
      </c>
      <c r="F3" s="85"/>
      <c r="G3" s="85"/>
    </row>
    <row r="4" spans="2:7" x14ac:dyDescent="0.25">
      <c r="B4" s="84" t="s">
        <v>36</v>
      </c>
    </row>
    <row r="5" spans="2:7" x14ac:dyDescent="0.25">
      <c r="B5" s="85" t="s">
        <v>37</v>
      </c>
    </row>
    <row r="6" spans="2:7" x14ac:dyDescent="0.25">
      <c r="B6" s="85" t="s">
        <v>73</v>
      </c>
    </row>
    <row r="7" spans="2:7" x14ac:dyDescent="0.25">
      <c r="B7" s="85" t="s">
        <v>74</v>
      </c>
    </row>
    <row r="8" spans="2:7" x14ac:dyDescent="0.25">
      <c r="B8" s="85" t="s">
        <v>38</v>
      </c>
    </row>
    <row r="9" spans="2:7" x14ac:dyDescent="0.25">
      <c r="B9" s="85" t="s">
        <v>87</v>
      </c>
    </row>
    <row r="10" spans="2:7" x14ac:dyDescent="0.25">
      <c r="B10" s="85" t="s">
        <v>84</v>
      </c>
    </row>
    <row r="11" spans="2:7" x14ac:dyDescent="0.25">
      <c r="B11" s="85" t="s">
        <v>288</v>
      </c>
    </row>
    <row r="12" spans="2:7" x14ac:dyDescent="0.25">
      <c r="B12" s="88" t="s">
        <v>40</v>
      </c>
    </row>
    <row r="13" spans="2:7" x14ac:dyDescent="0.25">
      <c r="B13" s="85" t="s">
        <v>75</v>
      </c>
    </row>
    <row r="14" spans="2:7" x14ac:dyDescent="0.25">
      <c r="B14" s="85" t="s">
        <v>65</v>
      </c>
    </row>
    <row r="15" spans="2:7" x14ac:dyDescent="0.25">
      <c r="B15" s="85" t="s">
        <v>39</v>
      </c>
    </row>
    <row r="16" spans="2:7" x14ac:dyDescent="0.25">
      <c r="B16" s="85" t="s">
        <v>76</v>
      </c>
    </row>
    <row r="17" spans="2:2" x14ac:dyDescent="0.25">
      <c r="B17" s="85" t="s">
        <v>77</v>
      </c>
    </row>
    <row r="18" spans="2:2" x14ac:dyDescent="0.25">
      <c r="B18" s="85" t="s">
        <v>78</v>
      </c>
    </row>
    <row r="19" spans="2:2" x14ac:dyDescent="0.25">
      <c r="B19" s="85" t="s">
        <v>66</v>
      </c>
    </row>
    <row r="20" spans="2:2" x14ac:dyDescent="0.25">
      <c r="B20" s="88" t="s">
        <v>49</v>
      </c>
    </row>
    <row r="21" spans="2:2" x14ac:dyDescent="0.25">
      <c r="B21" s="85" t="s">
        <v>313</v>
      </c>
    </row>
    <row r="22" spans="2:2" x14ac:dyDescent="0.25">
      <c r="B22" s="85"/>
    </row>
    <row r="23" spans="2:2" x14ac:dyDescent="0.25">
      <c r="B23" s="85" t="s">
        <v>314</v>
      </c>
    </row>
    <row r="24" spans="2:2" x14ac:dyDescent="0.25">
      <c r="B24" s="85" t="s">
        <v>79</v>
      </c>
    </row>
    <row r="25" spans="2:2" x14ac:dyDescent="0.25">
      <c r="B25" s="85" t="s">
        <v>41</v>
      </c>
    </row>
    <row r="26" spans="2:2" x14ac:dyDescent="0.25">
      <c r="B26" s="85" t="s">
        <v>42</v>
      </c>
    </row>
    <row r="27" spans="2:2" x14ac:dyDescent="0.25">
      <c r="B27" s="85" t="s">
        <v>50</v>
      </c>
    </row>
    <row r="28" spans="2:2" x14ac:dyDescent="0.25">
      <c r="B28" s="85" t="s">
        <v>51</v>
      </c>
    </row>
    <row r="29" spans="2:2" x14ac:dyDescent="0.25">
      <c r="B29" s="85"/>
    </row>
    <row r="30" spans="2:2" x14ac:dyDescent="0.25">
      <c r="B30" s="85" t="s">
        <v>315</v>
      </c>
    </row>
    <row r="31" spans="2:2" x14ac:dyDescent="0.25">
      <c r="B31" s="85"/>
    </row>
    <row r="32" spans="2:2" x14ac:dyDescent="0.25">
      <c r="B32" s="85"/>
    </row>
    <row r="33" spans="2:3" x14ac:dyDescent="0.25">
      <c r="B33" s="85" t="s">
        <v>290</v>
      </c>
    </row>
    <row r="34" spans="2:3" x14ac:dyDescent="0.25">
      <c r="B34" s="85" t="s">
        <v>43</v>
      </c>
    </row>
    <row r="35" spans="2:3" x14ac:dyDescent="0.25">
      <c r="B35" s="85" t="s">
        <v>320</v>
      </c>
    </row>
    <row r="36" spans="2:3" x14ac:dyDescent="0.25">
      <c r="B36" s="85" t="s">
        <v>321</v>
      </c>
    </row>
    <row r="37" spans="2:3" x14ac:dyDescent="0.25">
      <c r="B37" s="85" t="s">
        <v>80</v>
      </c>
    </row>
    <row r="38" spans="2:3" x14ac:dyDescent="0.25">
      <c r="B38" s="85" t="s">
        <v>316</v>
      </c>
    </row>
    <row r="39" spans="2:3" x14ac:dyDescent="0.25">
      <c r="B39" s="85"/>
    </row>
    <row r="40" spans="2:3" x14ac:dyDescent="0.25">
      <c r="B40" s="85"/>
    </row>
    <row r="41" spans="2:3" x14ac:dyDescent="0.25">
      <c r="B41" s="85" t="s">
        <v>289</v>
      </c>
    </row>
    <row r="42" spans="2:3" x14ac:dyDescent="0.25">
      <c r="B42" s="85" t="s">
        <v>302</v>
      </c>
    </row>
    <row r="43" spans="2:3" x14ac:dyDescent="0.25">
      <c r="B43" s="85"/>
      <c r="C43" s="86" t="s">
        <v>303</v>
      </c>
    </row>
    <row r="44" spans="2:3" x14ac:dyDescent="0.25">
      <c r="B44" s="85"/>
      <c r="C44" s="86" t="s">
        <v>304</v>
      </c>
    </row>
    <row r="45" spans="2:3" x14ac:dyDescent="0.25">
      <c r="B45" s="85"/>
      <c r="C45" s="86" t="s">
        <v>305</v>
      </c>
    </row>
    <row r="46" spans="2:3" x14ac:dyDescent="0.25">
      <c r="B46" s="85"/>
    </row>
    <row r="47" spans="2:3" x14ac:dyDescent="0.25">
      <c r="B47" s="85" t="s">
        <v>306</v>
      </c>
    </row>
    <row r="48" spans="2:3" x14ac:dyDescent="0.25">
      <c r="B48" s="85" t="s">
        <v>307</v>
      </c>
    </row>
    <row r="49" spans="2:3" x14ac:dyDescent="0.25">
      <c r="B49" s="85"/>
    </row>
    <row r="50" spans="2:3" x14ac:dyDescent="0.25">
      <c r="B50" s="85" t="s">
        <v>308</v>
      </c>
    </row>
    <row r="51" spans="2:3" x14ac:dyDescent="0.25">
      <c r="B51" s="86" t="s">
        <v>45</v>
      </c>
    </row>
    <row r="53" spans="2:3" x14ac:dyDescent="0.25">
      <c r="B53" s="85" t="s">
        <v>67</v>
      </c>
    </row>
    <row r="54" spans="2:3" x14ac:dyDescent="0.25">
      <c r="B54" s="85"/>
      <c r="C54" s="86" t="s">
        <v>44</v>
      </c>
    </row>
    <row r="55" spans="2:3" x14ac:dyDescent="0.25">
      <c r="B55" s="85"/>
    </row>
    <row r="56" spans="2:3" x14ac:dyDescent="0.25">
      <c r="B56" s="85" t="s">
        <v>309</v>
      </c>
    </row>
    <row r="57" spans="2:3" x14ac:dyDescent="0.25">
      <c r="B57" s="85"/>
      <c r="C57" s="86" t="s">
        <v>72</v>
      </c>
    </row>
    <row r="58" spans="2:3" x14ac:dyDescent="0.25">
      <c r="B58" s="85"/>
      <c r="C58" s="86" t="s">
        <v>46</v>
      </c>
    </row>
    <row r="59" spans="2:3" x14ac:dyDescent="0.25">
      <c r="B59" s="85"/>
      <c r="C59" s="86" t="s">
        <v>47</v>
      </c>
    </row>
    <row r="60" spans="2:3" x14ac:dyDescent="0.25">
      <c r="B60" s="85"/>
      <c r="C60" s="86" t="s">
        <v>48</v>
      </c>
    </row>
    <row r="61" spans="2:3" x14ac:dyDescent="0.25">
      <c r="B61" s="85"/>
      <c r="C61" s="86" t="s">
        <v>81</v>
      </c>
    </row>
    <row r="62" spans="2:3" x14ac:dyDescent="0.25">
      <c r="B62" s="85"/>
      <c r="C62" s="86" t="s">
        <v>69</v>
      </c>
    </row>
    <row r="63" spans="2:3" x14ac:dyDescent="0.25">
      <c r="B63" s="85"/>
      <c r="C63" s="86" t="s">
        <v>68</v>
      </c>
    </row>
    <row r="64" spans="2:3" x14ac:dyDescent="0.25">
      <c r="B64" s="85"/>
    </row>
    <row r="65" spans="2:3" x14ac:dyDescent="0.25">
      <c r="B65" s="85" t="s">
        <v>310</v>
      </c>
    </row>
    <row r="66" spans="2:3" x14ac:dyDescent="0.25">
      <c r="B66" s="85"/>
      <c r="C66" s="86" t="s">
        <v>82</v>
      </c>
    </row>
    <row r="67" spans="2:3" x14ac:dyDescent="0.25">
      <c r="B67" s="85"/>
    </row>
    <row r="68" spans="2:3" x14ac:dyDescent="0.25">
      <c r="B68" s="88" t="s">
        <v>58</v>
      </c>
    </row>
    <row r="69" spans="2:3" x14ac:dyDescent="0.25">
      <c r="B69" s="85" t="s">
        <v>52</v>
      </c>
    </row>
    <row r="70" spans="2:3" x14ac:dyDescent="0.25">
      <c r="B70" s="85"/>
      <c r="C70" s="86" t="s">
        <v>85</v>
      </c>
    </row>
    <row r="71" spans="2:3" x14ac:dyDescent="0.25">
      <c r="B71" s="85"/>
      <c r="C71" s="86" t="s">
        <v>59</v>
      </c>
    </row>
    <row r="72" spans="2:3" x14ac:dyDescent="0.25">
      <c r="B72" s="85"/>
      <c r="C72" s="86" t="s">
        <v>61</v>
      </c>
    </row>
    <row r="73" spans="2:3" x14ac:dyDescent="0.25">
      <c r="B73" s="85"/>
      <c r="C73" s="86" t="s">
        <v>86</v>
      </c>
    </row>
    <row r="74" spans="2:3" x14ac:dyDescent="0.25">
      <c r="B74" s="85"/>
      <c r="C74" s="86" t="s">
        <v>60</v>
      </c>
    </row>
    <row r="75" spans="2:3" x14ac:dyDescent="0.25">
      <c r="B75" s="85"/>
      <c r="C75" s="86" t="s">
        <v>62</v>
      </c>
    </row>
    <row r="76" spans="2:3" x14ac:dyDescent="0.25">
      <c r="B76" s="85"/>
      <c r="C76" s="86" t="s">
        <v>63</v>
      </c>
    </row>
    <row r="77" spans="2:3" x14ac:dyDescent="0.25">
      <c r="B77" s="85"/>
      <c r="C77" s="86" t="s">
        <v>70</v>
      </c>
    </row>
    <row r="78" spans="2:3" x14ac:dyDescent="0.25">
      <c r="B78" s="85"/>
      <c r="C78" s="86" t="s">
        <v>71</v>
      </c>
    </row>
    <row r="79" spans="2:3" x14ac:dyDescent="0.25">
      <c r="B79" s="85"/>
    </row>
    <row r="80" spans="2:3" x14ac:dyDescent="0.25">
      <c r="B80" s="85" t="s">
        <v>83</v>
      </c>
    </row>
    <row r="81" spans="2:9" x14ac:dyDescent="0.25">
      <c r="B81" s="85" t="s">
        <v>53</v>
      </c>
    </row>
    <row r="82" spans="2:9" x14ac:dyDescent="0.25">
      <c r="B82" s="85" t="s">
        <v>54</v>
      </c>
    </row>
    <row r="83" spans="2:9" x14ac:dyDescent="0.25">
      <c r="B83" s="85" t="s">
        <v>55</v>
      </c>
    </row>
    <row r="84" spans="2:9" x14ac:dyDescent="0.25">
      <c r="B84" s="85" t="s">
        <v>56</v>
      </c>
    </row>
    <row r="85" spans="2:9" x14ac:dyDescent="0.25">
      <c r="B85" s="85" t="s">
        <v>57</v>
      </c>
    </row>
    <row r="86" spans="2:9" x14ac:dyDescent="0.25">
      <c r="B86" s="85" t="s">
        <v>311</v>
      </c>
    </row>
    <row r="87" spans="2:9" x14ac:dyDescent="0.25">
      <c r="B87" s="85"/>
    </row>
    <row r="88" spans="2:9" x14ac:dyDescent="0.25">
      <c r="B88" s="89" t="s">
        <v>317</v>
      </c>
      <c r="C88" s="89"/>
      <c r="D88" s="89"/>
      <c r="E88" s="89"/>
      <c r="F88" s="89"/>
      <c r="G88" s="89"/>
      <c r="H88" s="89"/>
      <c r="I88" s="89"/>
    </row>
    <row r="89" spans="2:9" x14ac:dyDescent="0.25">
      <c r="B89" s="86" t="s">
        <v>312</v>
      </c>
    </row>
  </sheetData>
  <sheetProtection algorithmName="SHA-512" hashValue="7DSnNNGHq8z2exQd5gUIu7tLEF4eNQW67YDTUZHcodEab+D1KbvKzepoPHQAoV5A5Pam2QzyfTUHCQdfPYmRWQ==" saltValue="zJL2ivSBZCOzOgZMUUrjBw==" spinCount="100000" sheet="1" formatCells="0" formatColumns="0" formatRows="0"/>
  <pageMargins left="0.70866141732283472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6082-225A-4E4C-80F5-709082D61A57}">
  <dimension ref="B2:J45"/>
  <sheetViews>
    <sheetView showGridLines="0" rightToLeft="1" zoomScaleNormal="100" workbookViewId="0"/>
  </sheetViews>
  <sheetFormatPr defaultColWidth="9.09765625" defaultRowHeight="13.8" x14ac:dyDescent="0.25"/>
  <cols>
    <col min="1" max="1" width="3.5" style="119" customWidth="1"/>
    <col min="2" max="2" width="5" style="119" customWidth="1"/>
    <col min="3" max="3" width="10.09765625" style="119" customWidth="1"/>
    <col min="4" max="5" width="9.09765625" style="119"/>
    <col min="6" max="6" width="4.19921875" style="119" customWidth="1"/>
    <col min="7" max="7" width="24.8984375" style="145" customWidth="1"/>
    <col min="8" max="8" width="5.3984375" style="119" customWidth="1"/>
    <col min="9" max="9" width="7.09765625" style="119" customWidth="1"/>
    <col min="10" max="10" width="9.09765625" style="119"/>
    <col min="11" max="11" width="15.59765625" style="119" bestFit="1" customWidth="1"/>
    <col min="12" max="16384" width="9.09765625" style="119"/>
  </cols>
  <sheetData>
    <row r="2" spans="2:10" ht="15" x14ac:dyDescent="0.25">
      <c r="B2" s="115"/>
      <c r="C2" s="116"/>
      <c r="D2" s="116"/>
      <c r="E2" s="116"/>
      <c r="F2" s="116"/>
      <c r="G2" s="117"/>
      <c r="H2" s="116"/>
      <c r="I2" s="118"/>
    </row>
    <row r="3" spans="2:10" ht="18" x14ac:dyDescent="0.35">
      <c r="B3" s="229" t="s">
        <v>209</v>
      </c>
      <c r="C3" s="230"/>
      <c r="D3" s="230"/>
      <c r="E3" s="230"/>
      <c r="F3" s="230"/>
      <c r="G3" s="230"/>
      <c r="H3" s="230"/>
      <c r="I3" s="231"/>
    </row>
    <row r="4" spans="2:10" ht="18" x14ac:dyDescent="0.35">
      <c r="B4" s="120" t="s">
        <v>210</v>
      </c>
      <c r="C4" s="121"/>
      <c r="D4" s="121"/>
      <c r="E4" s="121"/>
      <c r="F4" s="121"/>
      <c r="G4" s="122"/>
      <c r="H4" s="121"/>
      <c r="I4" s="123"/>
    </row>
    <row r="5" spans="2:10" x14ac:dyDescent="0.25">
      <c r="B5" s="124"/>
      <c r="C5" s="125" t="s">
        <v>206</v>
      </c>
      <c r="D5" s="125"/>
      <c r="E5" s="125"/>
      <c r="F5" s="125"/>
      <c r="G5" s="52"/>
      <c r="H5" s="126"/>
      <c r="I5" s="127"/>
      <c r="J5" s="126"/>
    </row>
    <row r="6" spans="2:10" ht="15" x14ac:dyDescent="0.25">
      <c r="B6" s="124"/>
      <c r="C6" s="128"/>
      <c r="D6" s="128"/>
      <c r="E6" s="128"/>
      <c r="F6" s="128"/>
      <c r="G6" s="125"/>
      <c r="H6" s="126"/>
      <c r="I6" s="127"/>
      <c r="J6" s="126"/>
    </row>
    <row r="7" spans="2:10" x14ac:dyDescent="0.25">
      <c r="B7" s="124"/>
      <c r="C7" s="125" t="s">
        <v>207</v>
      </c>
      <c r="D7" s="128"/>
      <c r="E7" s="125"/>
      <c r="F7" s="125"/>
      <c r="G7" s="53"/>
      <c r="H7" s="126"/>
      <c r="I7" s="127"/>
      <c r="J7" s="126"/>
    </row>
    <row r="8" spans="2:10" ht="15" x14ac:dyDescent="0.25">
      <c r="B8" s="124"/>
      <c r="C8" s="125"/>
      <c r="D8" s="128"/>
      <c r="E8" s="125"/>
      <c r="F8" s="125"/>
      <c r="G8" s="125"/>
      <c r="H8" s="126"/>
      <c r="I8" s="127"/>
      <c r="J8" s="126"/>
    </row>
    <row r="9" spans="2:10" x14ac:dyDescent="0.25">
      <c r="B9" s="124"/>
      <c r="C9" s="125" t="s">
        <v>208</v>
      </c>
      <c r="D9" s="125"/>
      <c r="E9" s="125"/>
      <c r="F9" s="125"/>
      <c r="G9" s="53"/>
      <c r="H9" s="126"/>
      <c r="I9" s="127"/>
      <c r="J9" s="126"/>
    </row>
    <row r="10" spans="2:10" ht="15" x14ac:dyDescent="0.25">
      <c r="B10" s="124"/>
      <c r="C10" s="125"/>
      <c r="D10" s="125"/>
      <c r="E10" s="125"/>
      <c r="F10" s="125"/>
      <c r="G10" s="125"/>
      <c r="H10" s="126"/>
      <c r="I10" s="127"/>
      <c r="J10" s="126"/>
    </row>
    <row r="11" spans="2:10" x14ac:dyDescent="0.25">
      <c r="B11" s="124"/>
      <c r="C11" s="125" t="s">
        <v>211</v>
      </c>
      <c r="D11" s="125"/>
      <c r="E11" s="125"/>
      <c r="F11" s="125"/>
      <c r="G11" s="53"/>
      <c r="H11" s="126"/>
      <c r="I11" s="127"/>
      <c r="J11" s="126"/>
    </row>
    <row r="12" spans="2:10" ht="15" x14ac:dyDescent="0.25">
      <c r="B12" s="124"/>
      <c r="C12" s="125"/>
      <c r="D12" s="125"/>
      <c r="E12" s="125"/>
      <c r="F12" s="125"/>
      <c r="G12" s="125"/>
      <c r="H12" s="126"/>
      <c r="I12" s="127"/>
      <c r="J12" s="126"/>
    </row>
    <row r="13" spans="2:10" x14ac:dyDescent="0.25">
      <c r="B13" s="124"/>
      <c r="C13" s="125" t="s">
        <v>212</v>
      </c>
      <c r="D13" s="125"/>
      <c r="E13" s="125"/>
      <c r="F13" s="125"/>
      <c r="G13" s="53"/>
      <c r="H13" s="126"/>
      <c r="I13" s="127"/>
      <c r="J13" s="126"/>
    </row>
    <row r="14" spans="2:10" ht="15" x14ac:dyDescent="0.25">
      <c r="B14" s="124"/>
      <c r="C14" s="125"/>
      <c r="D14" s="125"/>
      <c r="E14" s="125"/>
      <c r="F14" s="125"/>
      <c r="G14" s="125"/>
      <c r="H14" s="126"/>
      <c r="I14" s="127"/>
      <c r="J14" s="126"/>
    </row>
    <row r="15" spans="2:10" x14ac:dyDescent="0.25">
      <c r="B15" s="124"/>
      <c r="C15" s="125" t="s">
        <v>213</v>
      </c>
      <c r="D15" s="125"/>
      <c r="E15" s="125"/>
      <c r="F15" s="125"/>
      <c r="G15" s="54"/>
      <c r="H15" s="126"/>
      <c r="I15" s="127"/>
      <c r="J15" s="126"/>
    </row>
    <row r="16" spans="2:10" ht="15" x14ac:dyDescent="0.25">
      <c r="B16" s="129"/>
      <c r="C16" s="130"/>
      <c r="D16" s="130"/>
      <c r="E16" s="130"/>
      <c r="F16" s="130"/>
      <c r="G16" s="131"/>
      <c r="H16" s="132"/>
      <c r="I16" s="133"/>
      <c r="J16" s="126"/>
    </row>
    <row r="17" spans="2:10" ht="15.6" x14ac:dyDescent="0.3">
      <c r="B17" s="134" t="s">
        <v>214</v>
      </c>
      <c r="C17" s="135"/>
      <c r="D17" s="135"/>
      <c r="E17" s="135"/>
      <c r="F17" s="135"/>
      <c r="G17" s="117"/>
      <c r="H17" s="116"/>
      <c r="I17" s="118"/>
      <c r="J17" s="126"/>
    </row>
    <row r="18" spans="2:10" x14ac:dyDescent="0.25">
      <c r="B18" s="124"/>
      <c r="C18" s="125" t="s">
        <v>215</v>
      </c>
      <c r="D18" s="125"/>
      <c r="E18" s="125"/>
      <c r="F18" s="125"/>
      <c r="G18" s="53"/>
      <c r="H18" s="126"/>
      <c r="I18" s="127"/>
      <c r="J18" s="126"/>
    </row>
    <row r="19" spans="2:10" ht="15" x14ac:dyDescent="0.25">
      <c r="B19" s="124"/>
      <c r="C19" s="128"/>
      <c r="D19" s="128"/>
      <c r="E19" s="128"/>
      <c r="F19" s="128"/>
      <c r="G19" s="125"/>
      <c r="H19" s="126"/>
      <c r="I19" s="127"/>
      <c r="J19" s="126"/>
    </row>
    <row r="20" spans="2:10" x14ac:dyDescent="0.25">
      <c r="B20" s="124"/>
      <c r="C20" s="125" t="s">
        <v>216</v>
      </c>
      <c r="D20" s="125"/>
      <c r="E20" s="125"/>
      <c r="F20" s="125"/>
      <c r="G20" s="53"/>
      <c r="H20" s="126"/>
      <c r="I20" s="127"/>
      <c r="J20" s="126"/>
    </row>
    <row r="21" spans="2:10" ht="15" x14ac:dyDescent="0.25">
      <c r="B21" s="124"/>
      <c r="C21" s="128"/>
      <c r="D21" s="128"/>
      <c r="E21" s="128"/>
      <c r="F21" s="128"/>
      <c r="G21" s="125"/>
      <c r="H21" s="126"/>
      <c r="I21" s="127"/>
      <c r="J21" s="126"/>
    </row>
    <row r="22" spans="2:10" x14ac:dyDescent="0.25">
      <c r="B22" s="124"/>
      <c r="C22" s="125" t="s">
        <v>217</v>
      </c>
      <c r="D22" s="125"/>
      <c r="E22" s="125"/>
      <c r="F22" s="125"/>
      <c r="G22" s="53"/>
      <c r="H22" s="126"/>
      <c r="I22" s="127"/>
      <c r="J22" s="126"/>
    </row>
    <row r="23" spans="2:10" ht="15" x14ac:dyDescent="0.25">
      <c r="B23" s="124"/>
      <c r="C23" s="125"/>
      <c r="D23" s="125"/>
      <c r="E23" s="125"/>
      <c r="F23" s="125"/>
      <c r="G23" s="125"/>
      <c r="H23" s="126"/>
      <c r="I23" s="127"/>
      <c r="J23" s="126"/>
    </row>
    <row r="24" spans="2:10" x14ac:dyDescent="0.25">
      <c r="B24" s="124"/>
      <c r="C24" s="128" t="s">
        <v>218</v>
      </c>
      <c r="D24" s="128"/>
      <c r="E24" s="128"/>
      <c r="F24" s="128"/>
      <c r="G24" s="53"/>
      <c r="H24" s="126"/>
      <c r="I24" s="127"/>
      <c r="J24" s="126"/>
    </row>
    <row r="25" spans="2:10" ht="15" x14ac:dyDescent="0.25">
      <c r="B25" s="124"/>
      <c r="C25" s="128"/>
      <c r="D25" s="128"/>
      <c r="E25" s="128"/>
      <c r="F25" s="128"/>
      <c r="G25" s="125"/>
      <c r="H25" s="126"/>
      <c r="I25" s="127"/>
      <c r="J25" s="126"/>
    </row>
    <row r="26" spans="2:10" x14ac:dyDescent="0.25">
      <c r="B26" s="124"/>
      <c r="C26" s="125" t="s">
        <v>219</v>
      </c>
      <c r="D26" s="125"/>
      <c r="E26" s="125"/>
      <c r="F26" s="125"/>
      <c r="G26" s="54"/>
      <c r="H26" s="126"/>
      <c r="I26" s="127"/>
      <c r="J26" s="126"/>
    </row>
    <row r="27" spans="2:10" x14ac:dyDescent="0.25">
      <c r="B27" s="129"/>
      <c r="C27" s="131"/>
      <c r="D27" s="131"/>
      <c r="E27" s="131"/>
      <c r="F27" s="131"/>
      <c r="G27" s="131"/>
      <c r="H27" s="131"/>
      <c r="I27" s="133"/>
      <c r="J27" s="126"/>
    </row>
    <row r="28" spans="2:10" ht="15.6" x14ac:dyDescent="0.3">
      <c r="B28" s="134" t="s">
        <v>220</v>
      </c>
      <c r="C28" s="135"/>
      <c r="D28" s="135"/>
      <c r="E28" s="135"/>
      <c r="F28" s="135"/>
      <c r="G28" s="117"/>
      <c r="H28" s="116"/>
      <c r="I28" s="118"/>
      <c r="J28" s="126"/>
    </row>
    <row r="29" spans="2:10" x14ac:dyDescent="0.25">
      <c r="B29" s="124"/>
      <c r="C29" s="125" t="s">
        <v>221</v>
      </c>
      <c r="D29" s="125"/>
      <c r="E29" s="125"/>
      <c r="F29" s="125"/>
      <c r="G29" s="53"/>
      <c r="H29" s="126"/>
      <c r="I29" s="127"/>
    </row>
    <row r="30" spans="2:10" x14ac:dyDescent="0.25">
      <c r="B30" s="136"/>
      <c r="C30" s="112"/>
      <c r="D30" s="112"/>
      <c r="E30" s="112"/>
      <c r="F30" s="112"/>
      <c r="G30" s="112"/>
      <c r="H30" s="112"/>
      <c r="I30" s="114"/>
    </row>
    <row r="31" spans="2:10" x14ac:dyDescent="0.25">
      <c r="B31" s="136"/>
      <c r="C31" s="112" t="s">
        <v>222</v>
      </c>
      <c r="D31" s="112"/>
      <c r="E31" s="112"/>
      <c r="F31" s="112"/>
      <c r="G31" s="53"/>
      <c r="H31" s="113"/>
      <c r="I31" s="114"/>
    </row>
    <row r="32" spans="2:10" x14ac:dyDescent="0.25">
      <c r="B32" s="124"/>
      <c r="C32" s="137"/>
      <c r="D32" s="128"/>
      <c r="E32" s="128"/>
      <c r="F32" s="128"/>
      <c r="G32" s="125"/>
      <c r="H32" s="126"/>
      <c r="I32" s="127"/>
    </row>
    <row r="33" spans="2:9" x14ac:dyDescent="0.25">
      <c r="B33" s="124"/>
      <c r="C33" s="137" t="s">
        <v>223</v>
      </c>
      <c r="D33" s="128"/>
      <c r="E33" s="128"/>
      <c r="F33" s="128"/>
      <c r="G33" s="53"/>
      <c r="H33" s="126"/>
      <c r="I33" s="127"/>
    </row>
    <row r="34" spans="2:9" x14ac:dyDescent="0.25">
      <c r="B34" s="124"/>
      <c r="C34" s="137"/>
      <c r="D34" s="128"/>
      <c r="E34" s="128"/>
      <c r="F34" s="128"/>
      <c r="G34" s="112"/>
      <c r="H34" s="126"/>
      <c r="I34" s="127"/>
    </row>
    <row r="35" spans="2:9" x14ac:dyDescent="0.25">
      <c r="B35" s="124"/>
      <c r="C35" s="137" t="s">
        <v>224</v>
      </c>
      <c r="D35" s="137"/>
      <c r="E35" s="128"/>
      <c r="F35" s="128"/>
      <c r="G35" s="53"/>
      <c r="H35" s="126"/>
      <c r="I35" s="127"/>
    </row>
    <row r="36" spans="2:9" x14ac:dyDescent="0.25">
      <c r="B36" s="129"/>
      <c r="C36" s="138"/>
      <c r="D36" s="130"/>
      <c r="E36" s="130"/>
      <c r="F36" s="130"/>
      <c r="G36" s="131"/>
      <c r="H36" s="132"/>
      <c r="I36" s="133"/>
    </row>
    <row r="37" spans="2:9" ht="15.6" x14ac:dyDescent="0.3">
      <c r="B37" s="134" t="s">
        <v>225</v>
      </c>
      <c r="C37" s="139"/>
      <c r="D37" s="116"/>
      <c r="E37" s="116"/>
      <c r="F37" s="116"/>
      <c r="G37" s="117"/>
      <c r="H37" s="116"/>
      <c r="I37" s="118"/>
    </row>
    <row r="38" spans="2:9" x14ac:dyDescent="0.25">
      <c r="B38" s="124"/>
      <c r="C38" s="126" t="s">
        <v>226</v>
      </c>
      <c r="D38" s="126"/>
      <c r="E38" s="126"/>
      <c r="F38" s="126"/>
      <c r="G38" s="125"/>
      <c r="H38" s="126"/>
      <c r="I38" s="127"/>
    </row>
    <row r="39" spans="2:9" x14ac:dyDescent="0.25">
      <c r="B39" s="140"/>
      <c r="C39" s="141" t="s">
        <v>248</v>
      </c>
      <c r="D39" s="141"/>
      <c r="E39" s="141"/>
      <c r="F39" s="141"/>
      <c r="G39" s="142"/>
      <c r="H39" s="141"/>
      <c r="I39" s="127"/>
    </row>
    <row r="40" spans="2:9" x14ac:dyDescent="0.25">
      <c r="B40" s="124"/>
      <c r="C40" s="126" t="s">
        <v>32</v>
      </c>
      <c r="D40" s="126"/>
      <c r="E40" s="126"/>
      <c r="F40" s="126"/>
      <c r="G40" s="125"/>
      <c r="H40" s="126"/>
      <c r="I40" s="127"/>
    </row>
    <row r="41" spans="2:9" x14ac:dyDescent="0.25">
      <c r="B41" s="124"/>
      <c r="C41" s="126" t="s">
        <v>33</v>
      </c>
      <c r="D41" s="126"/>
      <c r="E41" s="126"/>
      <c r="F41" s="126"/>
      <c r="G41" s="125"/>
      <c r="H41" s="126"/>
      <c r="I41" s="127"/>
    </row>
    <row r="42" spans="2:9" x14ac:dyDescent="0.25">
      <c r="B42" s="124"/>
      <c r="C42" s="126" t="s">
        <v>227</v>
      </c>
      <c r="D42" s="113"/>
      <c r="E42" s="113"/>
      <c r="F42" s="113"/>
      <c r="G42" s="112"/>
      <c r="H42" s="113"/>
      <c r="I42" s="114"/>
    </row>
    <row r="43" spans="2:9" x14ac:dyDescent="0.25">
      <c r="B43" s="124"/>
      <c r="C43" s="113" t="s">
        <v>228</v>
      </c>
      <c r="D43" s="113"/>
      <c r="E43" s="113"/>
      <c r="F43" s="113"/>
      <c r="G43" s="112"/>
      <c r="H43" s="113"/>
      <c r="I43" s="127"/>
    </row>
    <row r="44" spans="2:9" x14ac:dyDescent="0.25">
      <c r="B44" s="124"/>
      <c r="C44" s="113" t="s">
        <v>229</v>
      </c>
      <c r="D44" s="143"/>
      <c r="E44" s="143"/>
      <c r="F44" s="143"/>
      <c r="G44" s="144"/>
      <c r="H44" s="126"/>
      <c r="I44" s="127"/>
    </row>
    <row r="45" spans="2:9" x14ac:dyDescent="0.25">
      <c r="B45" s="129"/>
      <c r="C45" s="132"/>
      <c r="D45" s="132"/>
      <c r="E45" s="132"/>
      <c r="F45" s="132"/>
      <c r="G45" s="131"/>
      <c r="H45" s="132"/>
      <c r="I45" s="133"/>
    </row>
  </sheetData>
  <sheetProtection algorithmName="SHA-512" hashValue="CIx5xn8Z4sJ61lZA8b7aYvD2cT86I4xytIydOrZ2lXhdiCLo8Ux7NxmAHQ4RNb55NH6AafpVMwpH0c4wsvTuUg==" saltValue="HjsKvN/Yd0g0NToumZj5qA==" spinCount="100000" sheet="1" formatCells="0" formatColumns="0" formatRows="0"/>
  <mergeCells count="1">
    <mergeCell ref="B3:I3"/>
  </mergeCells>
  <dataValidations count="3">
    <dataValidation type="whole" allowBlank="1" showInputMessage="1" showErrorMessage="1" error="נא לכתוב מספר בין 10 ל80" sqref="G34" xr:uid="{4DC743F4-B3D3-4360-9F3D-AC55A055B7C6}">
      <formula1>10</formula1>
      <formula2>80</formula2>
    </dataValidation>
    <dataValidation type="list" allowBlank="1" showInputMessage="1" showErrorMessage="1" sqref="G29" xr:uid="{B439E741-7406-4C89-802A-7718C650DA57}">
      <formula1>"1,2,3,4,5,6,7,8,9,10"</formula1>
    </dataValidation>
    <dataValidation type="list" allowBlank="1" showInputMessage="1" showErrorMessage="1" sqref="G31" xr:uid="{BDD760D6-248F-41C1-8AFB-F96CDCCA0D24}">
      <formula1>"כן, לא"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7D8C-213F-42B7-B901-D82C7D29EB26}">
  <sheetPr codeName="Sheet2"/>
  <dimension ref="A1:U69"/>
  <sheetViews>
    <sheetView rightToLeft="1" zoomScaleNormal="100" workbookViewId="0">
      <selection activeCell="C17" sqref="C17"/>
    </sheetView>
  </sheetViews>
  <sheetFormatPr defaultColWidth="9" defaultRowHeight="13.8" x14ac:dyDescent="0.25"/>
  <cols>
    <col min="1" max="1" width="5" style="207" customWidth="1"/>
    <col min="2" max="2" width="49" style="204" customWidth="1"/>
    <col min="3" max="3" width="7.3984375" style="204" customWidth="1"/>
    <col min="4" max="4" width="11.3984375" style="204" bestFit="1" customWidth="1"/>
    <col min="5" max="5" width="10" style="204" customWidth="1"/>
    <col min="6" max="6" width="9" style="204"/>
    <col min="7" max="7" width="10.69921875" style="204" customWidth="1"/>
    <col min="8" max="8" width="13.3984375" style="205" customWidth="1"/>
    <col min="9" max="9" width="18.69921875" style="204" customWidth="1"/>
    <col min="10" max="11" width="9" style="204" hidden="1" customWidth="1"/>
    <col min="12" max="12" width="10.8984375" style="204" hidden="1" customWidth="1"/>
    <col min="13" max="13" width="11" style="204" hidden="1" customWidth="1"/>
    <col min="14" max="14" width="10.19921875" style="204" hidden="1" customWidth="1"/>
    <col min="15" max="15" width="11.69921875" style="222" hidden="1" customWidth="1"/>
    <col min="16" max="16" width="9" style="204" hidden="1" customWidth="1"/>
    <col min="17" max="17" width="13.19921875" style="204" hidden="1" customWidth="1"/>
    <col min="18" max="16384" width="9" style="204"/>
  </cols>
  <sheetData>
    <row r="1" spans="1:21" s="202" customFormat="1" ht="15.6" x14ac:dyDescent="0.3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01"/>
      <c r="P1" s="157"/>
      <c r="Q1" s="157"/>
      <c r="R1" s="157"/>
      <c r="S1" s="157"/>
      <c r="T1" s="157"/>
      <c r="U1" s="157"/>
    </row>
    <row r="2" spans="1:21" s="202" customFormat="1" ht="15.6" x14ac:dyDescent="0.3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01"/>
      <c r="P2" s="157"/>
      <c r="Q2" s="157"/>
      <c r="R2" s="157"/>
      <c r="S2" s="157"/>
      <c r="T2" s="157"/>
      <c r="U2" s="157"/>
    </row>
    <row r="3" spans="1:21" s="202" customFormat="1" ht="15.6" x14ac:dyDescent="0.3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201"/>
      <c r="P3" s="157"/>
      <c r="Q3" s="157"/>
      <c r="R3" s="157"/>
      <c r="S3" s="157"/>
      <c r="T3" s="157"/>
      <c r="U3" s="157"/>
    </row>
    <row r="4" spans="1:21" s="202" customFormat="1" ht="15.6" x14ac:dyDescent="0.3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01"/>
      <c r="P4" s="157"/>
      <c r="Q4" s="157"/>
      <c r="R4" s="157"/>
      <c r="S4" s="157"/>
      <c r="T4" s="157"/>
      <c r="U4" s="157"/>
    </row>
    <row r="5" spans="1:21" s="202" customFormat="1" ht="15.6" x14ac:dyDescent="0.3">
      <c r="A5" s="146"/>
      <c r="B5" s="149" t="s">
        <v>287</v>
      </c>
      <c r="C5" s="14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01"/>
      <c r="P5" s="157"/>
      <c r="Q5" s="157"/>
      <c r="R5" s="157"/>
      <c r="S5" s="157"/>
      <c r="T5" s="157"/>
      <c r="U5" s="157"/>
    </row>
    <row r="6" spans="1:21" x14ac:dyDescent="0.25">
      <c r="A6" s="150"/>
      <c r="B6" s="151" t="s">
        <v>249</v>
      </c>
      <c r="C6" s="152"/>
      <c r="D6" s="152"/>
      <c r="E6" s="28"/>
      <c r="F6" s="152"/>
      <c r="G6" s="152"/>
      <c r="H6" s="28"/>
      <c r="I6" s="152"/>
      <c r="J6" s="152"/>
      <c r="K6" s="152"/>
      <c r="L6" s="152"/>
      <c r="M6" s="152"/>
      <c r="N6" s="152"/>
      <c r="O6" s="203"/>
      <c r="P6" s="152"/>
      <c r="Q6" s="152"/>
      <c r="R6" s="152"/>
      <c r="S6" s="152"/>
      <c r="T6" s="152"/>
      <c r="U6" s="152"/>
    </row>
    <row r="7" spans="1:21" x14ac:dyDescent="0.25">
      <c r="A7" s="152"/>
      <c r="B7" s="153" t="s">
        <v>250</v>
      </c>
      <c r="C7" s="28"/>
      <c r="D7" s="28"/>
      <c r="E7" s="28"/>
      <c r="G7" s="152"/>
      <c r="H7" s="28"/>
      <c r="I7" s="152"/>
      <c r="J7" s="152"/>
      <c r="K7" s="152"/>
      <c r="L7" s="152"/>
      <c r="M7" s="152"/>
      <c r="N7" s="152"/>
      <c r="O7" s="203"/>
      <c r="P7" s="152"/>
      <c r="Q7" s="152"/>
      <c r="R7" s="152"/>
      <c r="S7" s="152"/>
      <c r="T7" s="152"/>
      <c r="U7" s="152"/>
    </row>
    <row r="8" spans="1:21" s="205" customFormat="1" x14ac:dyDescent="0.25">
      <c r="A8" s="28"/>
      <c r="B8" s="154" t="s">
        <v>31</v>
      </c>
      <c r="C8" s="28"/>
      <c r="D8" s="28"/>
      <c r="E8" s="28"/>
      <c r="F8" s="28"/>
      <c r="G8" s="28"/>
      <c r="Q8" s="28"/>
      <c r="R8" s="28"/>
      <c r="S8" s="28"/>
      <c r="T8" s="28"/>
      <c r="U8" s="28"/>
    </row>
    <row r="9" spans="1:21" s="205" customFormat="1" x14ac:dyDescent="0.25">
      <c r="A9" s="28"/>
      <c r="B9" s="154"/>
      <c r="C9" s="28"/>
      <c r="D9" s="28"/>
      <c r="E9" s="28"/>
      <c r="F9" s="28"/>
      <c r="G9" s="28"/>
      <c r="Q9" s="28"/>
      <c r="R9" s="28"/>
      <c r="S9" s="28"/>
      <c r="T9" s="28"/>
      <c r="U9" s="28"/>
    </row>
    <row r="10" spans="1:21" s="202" customFormat="1" ht="15.6" x14ac:dyDescent="0.3">
      <c r="A10" s="157">
        <v>4.0999999999999996</v>
      </c>
      <c r="B10" s="147" t="s">
        <v>180</v>
      </c>
      <c r="C10" s="14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201"/>
      <c r="P10" s="157"/>
      <c r="Q10" s="157"/>
      <c r="R10" s="157"/>
      <c r="S10" s="157"/>
      <c r="T10" s="157"/>
      <c r="U10" s="157"/>
    </row>
    <row r="11" spans="1:21" x14ac:dyDescent="0.25">
      <c r="A11" s="29" t="s">
        <v>18</v>
      </c>
      <c r="B11" s="26" t="s">
        <v>96</v>
      </c>
      <c r="C11" s="1"/>
      <c r="D11" s="1"/>
      <c r="E11" s="2"/>
      <c r="F11" s="3" t="s">
        <v>94</v>
      </c>
      <c r="G11" s="1"/>
      <c r="H11" s="93"/>
      <c r="I11" s="2"/>
      <c r="J11" s="162" t="s">
        <v>204</v>
      </c>
      <c r="K11" s="3" t="s">
        <v>167</v>
      </c>
      <c r="L11" s="1"/>
      <c r="M11" s="163"/>
      <c r="N11" s="1"/>
      <c r="O11" s="206"/>
      <c r="P11" s="1"/>
      <c r="Q11" s="2"/>
      <c r="R11" s="152"/>
      <c r="S11" s="152"/>
      <c r="T11" s="152"/>
      <c r="U11" s="152"/>
    </row>
    <row r="12" spans="1:21" s="207" customFormat="1" ht="41.4" x14ac:dyDescent="0.25">
      <c r="A12" s="4" t="s">
        <v>97</v>
      </c>
      <c r="B12" s="4" t="s">
        <v>98</v>
      </c>
      <c r="C12" s="4" t="s">
        <v>199</v>
      </c>
      <c r="D12" s="4" t="s">
        <v>201</v>
      </c>
      <c r="E12" s="4" t="s">
        <v>200</v>
      </c>
      <c r="F12" s="4" t="s">
        <v>136</v>
      </c>
      <c r="G12" s="4" t="s">
        <v>202</v>
      </c>
      <c r="H12" s="4" t="s">
        <v>161</v>
      </c>
      <c r="I12" s="4" t="s">
        <v>162</v>
      </c>
      <c r="J12" s="165" t="s">
        <v>203</v>
      </c>
      <c r="K12" s="165" t="s">
        <v>89</v>
      </c>
      <c r="L12" s="165" t="s">
        <v>90</v>
      </c>
      <c r="M12" s="165" t="s">
        <v>91</v>
      </c>
      <c r="N12" s="165" t="s">
        <v>95</v>
      </c>
      <c r="O12" s="166" t="s">
        <v>92</v>
      </c>
      <c r="P12" s="165" t="s">
        <v>93</v>
      </c>
      <c r="Q12" s="165" t="s">
        <v>13</v>
      </c>
      <c r="R12" s="154"/>
      <c r="S12" s="154"/>
      <c r="T12" s="154"/>
      <c r="U12" s="154"/>
    </row>
    <row r="13" spans="1:21" x14ac:dyDescent="0.25">
      <c r="A13" s="5">
        <v>1</v>
      </c>
      <c r="B13" s="4" t="s">
        <v>251</v>
      </c>
      <c r="C13" s="6">
        <f>'שאלון למילוי מגיש הבקשה - חובה'!$G$33</f>
        <v>0</v>
      </c>
      <c r="D13" s="7">
        <v>500</v>
      </c>
      <c r="E13" s="7">
        <f>C13*D13</f>
        <v>0</v>
      </c>
      <c r="F13" s="8"/>
      <c r="G13" s="167">
        <f>D13*F13</f>
        <v>0</v>
      </c>
      <c r="H13" s="168" t="str">
        <f>IF(F13&gt;C13,"נא להסביר חריגה","")</f>
        <v/>
      </c>
      <c r="I13" s="9"/>
      <c r="J13" s="35"/>
      <c r="K13" s="22"/>
      <c r="L13" s="22"/>
      <c r="M13" s="48"/>
      <c r="N13" s="23"/>
      <c r="O13" s="169">
        <f>IF(N13="",0,N13-G13)</f>
        <v>0</v>
      </c>
      <c r="P13" s="170">
        <f t="shared" ref="P13:P24" si="0">IF(G13=0,0,O13/G13)</f>
        <v>0</v>
      </c>
      <c r="Q13" s="22"/>
      <c r="R13" s="152"/>
      <c r="S13" s="152"/>
      <c r="T13" s="152"/>
      <c r="U13" s="152"/>
    </row>
    <row r="14" spans="1:21" x14ac:dyDescent="0.25">
      <c r="A14" s="5">
        <v>2</v>
      </c>
      <c r="B14" s="4" t="s">
        <v>205</v>
      </c>
      <c r="C14" s="6">
        <f>ROUNDUP('שאלון למילוי מגיש הבקשה - חובה'!$G$33/4,0)</f>
        <v>0</v>
      </c>
      <c r="D14" s="7">
        <v>3000</v>
      </c>
      <c r="E14" s="7">
        <f t="shared" ref="E14:E23" si="1">C14*D14</f>
        <v>0</v>
      </c>
      <c r="F14" s="8"/>
      <c r="G14" s="167">
        <f t="shared" ref="G14:G23" si="2">D14*F14</f>
        <v>0</v>
      </c>
      <c r="H14" s="168" t="str">
        <f t="shared" ref="H14:H23" si="3">IF(F14&gt;C14,"נא להסביר חריגה","")</f>
        <v/>
      </c>
      <c r="I14" s="9"/>
      <c r="J14" s="35"/>
      <c r="K14" s="22"/>
      <c r="L14" s="22"/>
      <c r="M14" s="48"/>
      <c r="N14" s="23"/>
      <c r="O14" s="169">
        <f t="shared" ref="O14:O23" si="4">IF(N14="",0,N14-G14)</f>
        <v>0</v>
      </c>
      <c r="P14" s="170">
        <f t="shared" si="0"/>
        <v>0</v>
      </c>
      <c r="Q14" s="22"/>
      <c r="R14" s="152"/>
      <c r="S14" s="152"/>
      <c r="T14" s="152"/>
      <c r="U14" s="152"/>
    </row>
    <row r="15" spans="1:21" ht="14.4" x14ac:dyDescent="0.3">
      <c r="A15" s="5">
        <v>3</v>
      </c>
      <c r="B15" s="4" t="s">
        <v>181</v>
      </c>
      <c r="C15" s="101">
        <f>'שאלון למילוי מגיש הבקשה - חובה'!$G$35</f>
        <v>0</v>
      </c>
      <c r="D15" s="7">
        <v>1200</v>
      </c>
      <c r="E15" s="7">
        <f t="shared" si="1"/>
        <v>0</v>
      </c>
      <c r="F15" s="8"/>
      <c r="G15" s="167">
        <f t="shared" si="2"/>
        <v>0</v>
      </c>
      <c r="H15" s="168" t="str">
        <f t="shared" si="3"/>
        <v/>
      </c>
      <c r="I15" s="9"/>
      <c r="J15" s="35"/>
      <c r="K15" s="22"/>
      <c r="L15" s="22"/>
      <c r="M15" s="48"/>
      <c r="N15" s="23"/>
      <c r="O15" s="169">
        <f t="shared" si="4"/>
        <v>0</v>
      </c>
      <c r="P15" s="170">
        <f t="shared" si="0"/>
        <v>0</v>
      </c>
      <c r="Q15" s="22"/>
      <c r="R15" s="152"/>
      <c r="S15" s="152"/>
      <c r="T15" s="152"/>
      <c r="U15" s="152"/>
    </row>
    <row r="16" spans="1:21" ht="14.4" x14ac:dyDescent="0.3">
      <c r="A16" s="5">
        <v>4</v>
      </c>
      <c r="B16" s="4" t="s">
        <v>182</v>
      </c>
      <c r="C16" s="101">
        <f>'שאלון למילוי מגיש הבקשה - חובה'!$G$35</f>
        <v>0</v>
      </c>
      <c r="D16" s="7">
        <v>3000</v>
      </c>
      <c r="E16" s="7">
        <f t="shared" si="1"/>
        <v>0</v>
      </c>
      <c r="F16" s="8"/>
      <c r="G16" s="167">
        <f t="shared" si="2"/>
        <v>0</v>
      </c>
      <c r="H16" s="168" t="str">
        <f t="shared" si="3"/>
        <v/>
      </c>
      <c r="I16" s="9"/>
      <c r="J16" s="35"/>
      <c r="K16" s="22"/>
      <c r="L16" s="22"/>
      <c r="M16" s="48"/>
      <c r="N16" s="23"/>
      <c r="O16" s="169">
        <f t="shared" si="4"/>
        <v>0</v>
      </c>
      <c r="P16" s="170">
        <f t="shared" si="0"/>
        <v>0</v>
      </c>
      <c r="Q16" s="22"/>
      <c r="R16" s="152"/>
      <c r="S16" s="152"/>
      <c r="T16" s="152"/>
      <c r="U16" s="152"/>
    </row>
    <row r="17" spans="1:21" ht="14.4" x14ac:dyDescent="0.3">
      <c r="A17" s="5">
        <v>5</v>
      </c>
      <c r="B17" s="4" t="s">
        <v>291</v>
      </c>
      <c r="C17" s="101">
        <f>'שאלון למילוי מגיש הבקשה - חובה'!$G$35*2</f>
        <v>0</v>
      </c>
      <c r="D17" s="7">
        <v>4500</v>
      </c>
      <c r="E17" s="7">
        <f t="shared" si="1"/>
        <v>0</v>
      </c>
      <c r="F17" s="8"/>
      <c r="G17" s="167">
        <f t="shared" si="2"/>
        <v>0</v>
      </c>
      <c r="H17" s="168" t="str">
        <f t="shared" si="3"/>
        <v/>
      </c>
      <c r="I17" s="9"/>
      <c r="J17" s="35"/>
      <c r="K17" s="22"/>
      <c r="L17" s="22"/>
      <c r="M17" s="48"/>
      <c r="N17" s="23"/>
      <c r="O17" s="169">
        <f t="shared" si="4"/>
        <v>0</v>
      </c>
      <c r="P17" s="170">
        <f t="shared" si="0"/>
        <v>0</v>
      </c>
      <c r="Q17" s="22"/>
      <c r="R17" s="152"/>
      <c r="S17" s="152"/>
      <c r="T17" s="152"/>
      <c r="U17" s="152"/>
    </row>
    <row r="18" spans="1:21" ht="14.4" x14ac:dyDescent="0.3">
      <c r="A18" s="5">
        <v>6</v>
      </c>
      <c r="B18" s="4" t="s">
        <v>183</v>
      </c>
      <c r="C18" s="101">
        <f>'שאלון למילוי מגיש הבקשה - חובה'!$G$35</f>
        <v>0</v>
      </c>
      <c r="D18" s="7">
        <v>1500</v>
      </c>
      <c r="E18" s="7">
        <f t="shared" si="1"/>
        <v>0</v>
      </c>
      <c r="F18" s="8"/>
      <c r="G18" s="167">
        <f t="shared" si="2"/>
        <v>0</v>
      </c>
      <c r="H18" s="168" t="str">
        <f t="shared" si="3"/>
        <v/>
      </c>
      <c r="I18" s="9"/>
      <c r="J18" s="35"/>
      <c r="K18" s="22"/>
      <c r="L18" s="22"/>
      <c r="M18" s="48"/>
      <c r="N18" s="23"/>
      <c r="O18" s="169">
        <f t="shared" si="4"/>
        <v>0</v>
      </c>
      <c r="P18" s="170">
        <f t="shared" si="0"/>
        <v>0</v>
      </c>
      <c r="Q18" s="22"/>
      <c r="R18" s="152"/>
      <c r="S18" s="152"/>
      <c r="T18" s="152"/>
      <c r="U18" s="152"/>
    </row>
    <row r="19" spans="1:21" x14ac:dyDescent="0.25">
      <c r="A19" s="5">
        <v>7</v>
      </c>
      <c r="B19" s="4" t="s">
        <v>280</v>
      </c>
      <c r="C19" s="6">
        <f>ROUNDUP('שאלון למילוי מגיש הבקשה - חובה'!$G$33*1.1,0)</f>
        <v>0</v>
      </c>
      <c r="D19" s="7">
        <v>500</v>
      </c>
      <c r="E19" s="7">
        <f t="shared" si="1"/>
        <v>0</v>
      </c>
      <c r="F19" s="8"/>
      <c r="G19" s="167">
        <f t="shared" si="2"/>
        <v>0</v>
      </c>
      <c r="H19" s="168" t="str">
        <f t="shared" si="3"/>
        <v/>
      </c>
      <c r="I19" s="9"/>
      <c r="J19" s="35"/>
      <c r="K19" s="22"/>
      <c r="L19" s="22"/>
      <c r="M19" s="48"/>
      <c r="N19" s="23"/>
      <c r="O19" s="169">
        <f t="shared" si="4"/>
        <v>0</v>
      </c>
      <c r="P19" s="170">
        <f t="shared" si="0"/>
        <v>0</v>
      </c>
      <c r="Q19" s="22"/>
      <c r="R19" s="152"/>
      <c r="S19" s="152"/>
      <c r="T19" s="152"/>
      <c r="U19" s="152"/>
    </row>
    <row r="20" spans="1:21" ht="14.4" x14ac:dyDescent="0.3">
      <c r="A20" s="5">
        <v>8</v>
      </c>
      <c r="B20" s="4" t="s">
        <v>184</v>
      </c>
      <c r="C20" s="101">
        <f>'שאלון למילוי מגיש הבקשה - חובה'!$G$35</f>
        <v>0</v>
      </c>
      <c r="D20" s="7">
        <v>300</v>
      </c>
      <c r="E20" s="7">
        <f t="shared" si="1"/>
        <v>0</v>
      </c>
      <c r="F20" s="8"/>
      <c r="G20" s="167">
        <f t="shared" si="2"/>
        <v>0</v>
      </c>
      <c r="H20" s="168" t="str">
        <f t="shared" si="3"/>
        <v/>
      </c>
      <c r="I20" s="9"/>
      <c r="J20" s="35"/>
      <c r="K20" s="22"/>
      <c r="L20" s="22"/>
      <c r="M20" s="48"/>
      <c r="N20" s="23"/>
      <c r="O20" s="169">
        <f t="shared" si="4"/>
        <v>0</v>
      </c>
      <c r="P20" s="170">
        <f t="shared" si="0"/>
        <v>0</v>
      </c>
      <c r="Q20" s="22"/>
      <c r="R20" s="152"/>
      <c r="S20" s="152"/>
      <c r="T20" s="152"/>
      <c r="U20" s="152"/>
    </row>
    <row r="21" spans="1:21" ht="14.4" x14ac:dyDescent="0.3">
      <c r="A21" s="5">
        <v>9</v>
      </c>
      <c r="B21" s="4" t="s">
        <v>185</v>
      </c>
      <c r="C21" s="101">
        <f>'שאלון למילוי מגיש הבקשה - חובה'!$G$35</f>
        <v>0</v>
      </c>
      <c r="D21" s="7">
        <v>200</v>
      </c>
      <c r="E21" s="7">
        <f t="shared" si="1"/>
        <v>0</v>
      </c>
      <c r="F21" s="8"/>
      <c r="G21" s="167">
        <f t="shared" si="2"/>
        <v>0</v>
      </c>
      <c r="H21" s="168" t="str">
        <f t="shared" si="3"/>
        <v/>
      </c>
      <c r="I21" s="9"/>
      <c r="J21" s="35"/>
      <c r="K21" s="22"/>
      <c r="L21" s="22"/>
      <c r="M21" s="48"/>
      <c r="N21" s="23"/>
      <c r="O21" s="169">
        <f t="shared" si="4"/>
        <v>0</v>
      </c>
      <c r="P21" s="170">
        <f t="shared" si="0"/>
        <v>0</v>
      </c>
      <c r="Q21" s="22"/>
      <c r="R21" s="152"/>
      <c r="S21" s="152"/>
      <c r="T21" s="152"/>
      <c r="U21" s="152"/>
    </row>
    <row r="22" spans="1:21" ht="28.2" x14ac:dyDescent="0.3">
      <c r="A22" s="5">
        <v>10</v>
      </c>
      <c r="B22" s="30" t="s">
        <v>135</v>
      </c>
      <c r="C22" s="101">
        <f>ROUNDUP(1.3*'שאלון למילוי מגיש הבקשה - חובה'!$G$35,0)</f>
        <v>0</v>
      </c>
      <c r="D22" s="7">
        <f>12*500</f>
        <v>6000</v>
      </c>
      <c r="E22" s="7">
        <f>C22*D22</f>
        <v>0</v>
      </c>
      <c r="F22" s="8"/>
      <c r="G22" s="167">
        <f t="shared" si="2"/>
        <v>0</v>
      </c>
      <c r="H22" s="168" t="str">
        <f t="shared" si="3"/>
        <v/>
      </c>
      <c r="I22" s="9"/>
      <c r="J22" s="35"/>
      <c r="K22" s="22"/>
      <c r="L22" s="22"/>
      <c r="M22" s="48"/>
      <c r="N22" s="23"/>
      <c r="O22" s="169">
        <f t="shared" si="4"/>
        <v>0</v>
      </c>
      <c r="P22" s="170">
        <f t="shared" si="0"/>
        <v>0</v>
      </c>
      <c r="Q22" s="22"/>
      <c r="R22" s="152"/>
      <c r="S22" s="152"/>
      <c r="T22" s="152"/>
      <c r="U22" s="152"/>
    </row>
    <row r="23" spans="1:21" ht="28.2" x14ac:dyDescent="0.3">
      <c r="A23" s="5">
        <v>11</v>
      </c>
      <c r="B23" s="4" t="s">
        <v>134</v>
      </c>
      <c r="C23" s="101">
        <f>ROUNDUP(1.3*'שאלון למילוי מגיש הבקשה - חובה'!$G$35,0)</f>
        <v>0</v>
      </c>
      <c r="D23" s="7">
        <v>200</v>
      </c>
      <c r="E23" s="7">
        <f t="shared" si="1"/>
        <v>0</v>
      </c>
      <c r="F23" s="8"/>
      <c r="G23" s="167">
        <f t="shared" si="2"/>
        <v>0</v>
      </c>
      <c r="H23" s="168" t="str">
        <f t="shared" si="3"/>
        <v/>
      </c>
      <c r="I23" s="9"/>
      <c r="J23" s="35"/>
      <c r="K23" s="22"/>
      <c r="L23" s="22"/>
      <c r="M23" s="48"/>
      <c r="N23" s="23"/>
      <c r="O23" s="169">
        <f t="shared" si="4"/>
        <v>0</v>
      </c>
      <c r="P23" s="170">
        <f t="shared" si="0"/>
        <v>0</v>
      </c>
      <c r="Q23" s="22"/>
      <c r="R23" s="152"/>
      <c r="S23" s="152"/>
      <c r="T23" s="152"/>
      <c r="U23" s="152"/>
    </row>
    <row r="24" spans="1:21" x14ac:dyDescent="0.25">
      <c r="A24" s="5"/>
      <c r="B24" s="4" t="s">
        <v>88</v>
      </c>
      <c r="C24" s="7"/>
      <c r="D24" s="7"/>
      <c r="E24" s="7">
        <f>SUM(E13:E23)</f>
        <v>0</v>
      </c>
      <c r="F24" s="11"/>
      <c r="G24" s="7">
        <f>SUM(G13:G23)</f>
        <v>0</v>
      </c>
      <c r="H24" s="7"/>
      <c r="I24" s="7"/>
      <c r="J24" s="7">
        <f>SUM(J13:J23)</f>
        <v>0</v>
      </c>
      <c r="K24" s="11"/>
      <c r="L24" s="12"/>
      <c r="M24" s="11"/>
      <c r="N24" s="7">
        <f>SUM(N13:N23)</f>
        <v>0</v>
      </c>
      <c r="O24" s="169">
        <f>SUM(O13:O23)</f>
        <v>0</v>
      </c>
      <c r="P24" s="170">
        <f t="shared" si="0"/>
        <v>0</v>
      </c>
      <c r="Q24" s="96"/>
      <c r="R24" s="152"/>
      <c r="S24" s="152"/>
      <c r="T24" s="152"/>
      <c r="U24" s="152"/>
    </row>
    <row r="25" spans="1:21" x14ac:dyDescent="0.25">
      <c r="A25" s="152"/>
      <c r="B25" s="208"/>
      <c r="C25" s="13"/>
      <c r="D25" s="13"/>
      <c r="E25" s="13"/>
      <c r="F25" s="13"/>
      <c r="G25" s="13"/>
      <c r="H25" s="13"/>
      <c r="I25" s="13"/>
      <c r="J25" s="13"/>
      <c r="K25" s="13"/>
      <c r="L25" s="209"/>
      <c r="M25" s="209"/>
      <c r="N25" s="152"/>
      <c r="O25" s="203"/>
      <c r="P25" s="152"/>
      <c r="Q25" s="152"/>
      <c r="R25" s="152"/>
      <c r="S25" s="152"/>
      <c r="T25" s="152"/>
      <c r="U25" s="152"/>
    </row>
    <row r="26" spans="1:21" x14ac:dyDescent="0.25">
      <c r="A26" s="29" t="s">
        <v>19</v>
      </c>
      <c r="B26" s="26" t="s">
        <v>139</v>
      </c>
      <c r="C26" s="93"/>
      <c r="D26" s="93"/>
      <c r="E26" s="102"/>
      <c r="F26" s="3" t="s">
        <v>140</v>
      </c>
      <c r="G26" s="1"/>
      <c r="H26" s="93"/>
      <c r="I26" s="2"/>
      <c r="J26" s="162" t="s">
        <v>204</v>
      </c>
      <c r="K26" s="3" t="s">
        <v>141</v>
      </c>
      <c r="L26" s="1"/>
      <c r="M26" s="163"/>
      <c r="N26" s="1"/>
      <c r="O26" s="206"/>
      <c r="P26" s="1"/>
      <c r="Q26" s="2"/>
      <c r="R26" s="152"/>
      <c r="S26" s="152"/>
      <c r="T26" s="152"/>
      <c r="U26" s="152"/>
    </row>
    <row r="27" spans="1:21" s="207" customFormat="1" ht="41.4" x14ac:dyDescent="0.25">
      <c r="A27" s="4" t="str">
        <f>A$12</f>
        <v xml:space="preserve">מס'  </v>
      </c>
      <c r="B27" s="4" t="str">
        <f t="shared" ref="B27:Q27" si="5">B$12</f>
        <v xml:space="preserve">ציוד </v>
      </c>
      <c r="C27" s="4" t="str">
        <f t="shared" si="5"/>
        <v xml:space="preserve">כמות תקן   </v>
      </c>
      <c r="D27" s="4" t="str">
        <f t="shared" si="5"/>
        <v xml:space="preserve">מחיר התקן ליחידה כולל מע"מ   </v>
      </c>
      <c r="E27" s="4" t="str">
        <f t="shared" si="5"/>
        <v>עלות ציוד התקן כולל מע"מ</v>
      </c>
      <c r="F27" s="4" t="str">
        <f t="shared" si="5"/>
        <v>כמות הציוד המבוקש</v>
      </c>
      <c r="G27" s="4" t="str">
        <f t="shared" si="5"/>
        <v xml:space="preserve">סך עלות הציוד המבוקש כולל מע"מ  </v>
      </c>
      <c r="H27" s="4" t="str">
        <f t="shared" si="5"/>
        <v>התראת חריגה</v>
      </c>
      <c r="I27" s="4" t="str">
        <f t="shared" si="5"/>
        <v>הערות/ הסבר חריגות</v>
      </c>
      <c r="J27" s="4" t="str">
        <f t="shared" si="5"/>
        <v>צפי עלות רכישה כולל מע"מ</v>
      </c>
      <c r="K27" s="4" t="str">
        <f t="shared" si="5"/>
        <v>שם ספק</v>
      </c>
      <c r="L27" s="4" t="str">
        <f t="shared" si="5"/>
        <v>מס חשבונית</v>
      </c>
      <c r="M27" s="4" t="str">
        <f t="shared" si="5"/>
        <v>תאריך חשבונית</v>
      </c>
      <c r="N27" s="4" t="str">
        <f t="shared" si="5"/>
        <v>סכום - שנרכש בפועל כולל מע"מ</v>
      </c>
      <c r="O27" s="55" t="str">
        <f t="shared" si="5"/>
        <v>הפרש בין הסכום שנרכש בפועל לעלות שאושרה</v>
      </c>
      <c r="P27" s="4" t="str">
        <f t="shared" si="5"/>
        <v>שיעור ההפרש</v>
      </c>
      <c r="Q27" s="4" t="str">
        <f t="shared" si="5"/>
        <v>הערות</v>
      </c>
      <c r="R27" s="152"/>
      <c r="S27" s="152"/>
      <c r="T27" s="152"/>
      <c r="U27" s="152"/>
    </row>
    <row r="28" spans="1:21" ht="14.4" x14ac:dyDescent="0.3">
      <c r="A28" s="5">
        <v>1</v>
      </c>
      <c r="B28" s="4" t="s">
        <v>186</v>
      </c>
      <c r="C28" s="101">
        <f>'שאלון למילוי מגיש הבקשה - חובה'!$G$35</f>
        <v>0</v>
      </c>
      <c r="D28" s="7">
        <v>5000</v>
      </c>
      <c r="E28" s="7">
        <f t="shared" ref="E28:E30" si="6">C28*D28</f>
        <v>0</v>
      </c>
      <c r="F28" s="8"/>
      <c r="G28" s="167">
        <f>D28*F28</f>
        <v>0</v>
      </c>
      <c r="H28" s="168" t="str">
        <f t="shared" ref="H28:H30" si="7">IF(F28&gt;C28,"נא להסביר חריגה","")</f>
        <v/>
      </c>
      <c r="I28" s="9"/>
      <c r="J28" s="35"/>
      <c r="K28" s="22"/>
      <c r="L28" s="22"/>
      <c r="M28" s="48"/>
      <c r="N28" s="23"/>
      <c r="O28" s="169">
        <f t="shared" ref="O28:O30" si="8">IF(N28="",0,N28-G28)</f>
        <v>0</v>
      </c>
      <c r="P28" s="170">
        <f>IF(G28=0,0,O28/G28)</f>
        <v>0</v>
      </c>
      <c r="Q28" s="22"/>
      <c r="R28" s="152"/>
      <c r="S28" s="152"/>
      <c r="T28" s="152"/>
      <c r="U28" s="152"/>
    </row>
    <row r="29" spans="1:21" ht="14.4" x14ac:dyDescent="0.3">
      <c r="A29" s="5">
        <v>2</v>
      </c>
      <c r="B29" s="4" t="s">
        <v>187</v>
      </c>
      <c r="C29" s="101">
        <f>'שאלון למילוי מגיש הבקשה - חובה'!$G$35</f>
        <v>0</v>
      </c>
      <c r="D29" s="7">
        <v>1500</v>
      </c>
      <c r="E29" s="7">
        <f t="shared" si="6"/>
        <v>0</v>
      </c>
      <c r="F29" s="8"/>
      <c r="G29" s="167">
        <f t="shared" ref="G29:G30" si="9">D29*F29</f>
        <v>0</v>
      </c>
      <c r="H29" s="168" t="str">
        <f t="shared" si="7"/>
        <v/>
      </c>
      <c r="I29" s="9"/>
      <c r="J29" s="35"/>
      <c r="K29" s="22"/>
      <c r="L29" s="22"/>
      <c r="M29" s="48"/>
      <c r="N29" s="23"/>
      <c r="O29" s="169">
        <f t="shared" si="8"/>
        <v>0</v>
      </c>
      <c r="P29" s="170">
        <f>IF(G29=0,0,O29/G29)</f>
        <v>0</v>
      </c>
      <c r="Q29" s="22"/>
      <c r="R29" s="152"/>
      <c r="S29" s="152"/>
      <c r="T29" s="152"/>
      <c r="U29" s="152"/>
    </row>
    <row r="30" spans="1:21" ht="14.4" x14ac:dyDescent="0.3">
      <c r="A30" s="5">
        <v>3</v>
      </c>
      <c r="B30" s="4" t="s">
        <v>188</v>
      </c>
      <c r="C30" s="101">
        <f>'שאלון למילוי מגיש הבקשה - חובה'!$G$35</f>
        <v>0</v>
      </c>
      <c r="D30" s="7">
        <v>4500</v>
      </c>
      <c r="E30" s="7">
        <f t="shared" si="6"/>
        <v>0</v>
      </c>
      <c r="F30" s="8"/>
      <c r="G30" s="167">
        <f t="shared" si="9"/>
        <v>0</v>
      </c>
      <c r="H30" s="168" t="str">
        <f t="shared" si="7"/>
        <v/>
      </c>
      <c r="I30" s="9"/>
      <c r="J30" s="35"/>
      <c r="K30" s="22"/>
      <c r="L30" s="22"/>
      <c r="M30" s="48"/>
      <c r="N30" s="23"/>
      <c r="O30" s="169">
        <f t="shared" si="8"/>
        <v>0</v>
      </c>
      <c r="P30" s="170">
        <f>IF(G30=0,0,O30/G30)</f>
        <v>0</v>
      </c>
      <c r="Q30" s="22"/>
      <c r="R30" s="152"/>
      <c r="S30" s="152"/>
      <c r="T30" s="152"/>
      <c r="U30" s="152"/>
    </row>
    <row r="31" spans="1:21" x14ac:dyDescent="0.25">
      <c r="A31" s="5"/>
      <c r="B31" s="4" t="s">
        <v>10</v>
      </c>
      <c r="C31" s="7"/>
      <c r="D31" s="7"/>
      <c r="E31" s="7">
        <f>SUM(E28:E30)</f>
        <v>0</v>
      </c>
      <c r="F31" s="167"/>
      <c r="G31" s="7">
        <f>SUM(G28:G30)</f>
        <v>0</v>
      </c>
      <c r="H31" s="168" t="str">
        <f>IF(F31&gt;C31,"נא להסביר חריגה כאן","")</f>
        <v/>
      </c>
      <c r="I31" s="168"/>
      <c r="J31" s="7">
        <f>SUM(J28:J30)</f>
        <v>0</v>
      </c>
      <c r="K31" s="167"/>
      <c r="L31" s="10"/>
      <c r="M31" s="11"/>
      <c r="N31" s="7">
        <f>SUM(N28:N30)</f>
        <v>0</v>
      </c>
      <c r="O31" s="169">
        <f>SUM(O28:O30)</f>
        <v>0</v>
      </c>
      <c r="P31" s="170">
        <f>IF(G31=0,0,O31/G31)</f>
        <v>0</v>
      </c>
      <c r="Q31" s="96"/>
      <c r="R31" s="28"/>
      <c r="S31" s="28"/>
      <c r="T31" s="28"/>
      <c r="U31" s="28"/>
    </row>
    <row r="32" spans="1:21" x14ac:dyDescent="0.25">
      <c r="A32" s="13"/>
      <c r="B32" s="14"/>
      <c r="C32" s="15"/>
      <c r="D32" s="15"/>
      <c r="E32" s="15"/>
      <c r="F32" s="172"/>
      <c r="G32" s="172"/>
      <c r="H32" s="172"/>
      <c r="I32" s="172"/>
      <c r="J32" s="172"/>
      <c r="K32" s="172"/>
      <c r="L32" s="16"/>
      <c r="M32" s="173"/>
      <c r="N32" s="174"/>
      <c r="O32" s="175"/>
      <c r="P32" s="174"/>
      <c r="Q32" s="174"/>
      <c r="R32" s="28"/>
      <c r="S32" s="28"/>
      <c r="T32" s="28"/>
      <c r="U32" s="28"/>
    </row>
    <row r="33" spans="1:21" x14ac:dyDescent="0.25">
      <c r="A33" s="29" t="s">
        <v>20</v>
      </c>
      <c r="B33" s="26" t="s">
        <v>144</v>
      </c>
      <c r="C33" s="93"/>
      <c r="D33" s="93"/>
      <c r="E33" s="102"/>
      <c r="F33" s="3" t="s">
        <v>145</v>
      </c>
      <c r="G33" s="1"/>
      <c r="H33" s="93"/>
      <c r="I33" s="2"/>
      <c r="J33" s="162" t="s">
        <v>204</v>
      </c>
      <c r="K33" s="3" t="s">
        <v>168</v>
      </c>
      <c r="L33" s="1"/>
      <c r="M33" s="163"/>
      <c r="N33" s="1"/>
      <c r="O33" s="206"/>
      <c r="P33" s="1"/>
      <c r="Q33" s="2"/>
      <c r="R33" s="28"/>
      <c r="S33" s="28"/>
      <c r="T33" s="28"/>
      <c r="U33" s="28"/>
    </row>
    <row r="34" spans="1:21" s="207" customFormat="1" ht="41.4" x14ac:dyDescent="0.25">
      <c r="A34" s="4" t="str">
        <f>A$12</f>
        <v xml:space="preserve">מס'  </v>
      </c>
      <c r="B34" s="4" t="str">
        <f t="shared" ref="B34:Q34" si="10">B$12</f>
        <v xml:space="preserve">ציוד </v>
      </c>
      <c r="C34" s="4" t="str">
        <f t="shared" si="10"/>
        <v xml:space="preserve">כמות תקן   </v>
      </c>
      <c r="D34" s="4" t="str">
        <f t="shared" si="10"/>
        <v xml:space="preserve">מחיר התקן ליחידה כולל מע"מ   </v>
      </c>
      <c r="E34" s="4" t="str">
        <f t="shared" si="10"/>
        <v>עלות ציוד התקן כולל מע"מ</v>
      </c>
      <c r="F34" s="4" t="str">
        <f t="shared" si="10"/>
        <v>כמות הציוד המבוקש</v>
      </c>
      <c r="G34" s="4" t="str">
        <f t="shared" si="10"/>
        <v xml:space="preserve">סך עלות הציוד המבוקש כולל מע"מ  </v>
      </c>
      <c r="H34" s="4" t="str">
        <f t="shared" si="10"/>
        <v>התראת חריגה</v>
      </c>
      <c r="I34" s="4" t="str">
        <f t="shared" si="10"/>
        <v>הערות/ הסבר חריגות</v>
      </c>
      <c r="J34" s="4" t="str">
        <f t="shared" si="10"/>
        <v>צפי עלות רכישה כולל מע"מ</v>
      </c>
      <c r="K34" s="4" t="str">
        <f t="shared" si="10"/>
        <v>שם ספק</v>
      </c>
      <c r="L34" s="4" t="str">
        <f t="shared" si="10"/>
        <v>מס חשבונית</v>
      </c>
      <c r="M34" s="4" t="str">
        <f t="shared" si="10"/>
        <v>תאריך חשבונית</v>
      </c>
      <c r="N34" s="4" t="str">
        <f t="shared" si="10"/>
        <v>סכום - שנרכש בפועל כולל מע"מ</v>
      </c>
      <c r="O34" s="55" t="str">
        <f t="shared" si="10"/>
        <v>הפרש בין הסכום שנרכש בפועל לעלות שאושרה</v>
      </c>
      <c r="P34" s="4" t="str">
        <f t="shared" si="10"/>
        <v>שיעור ההפרש</v>
      </c>
      <c r="Q34" s="4" t="str">
        <f t="shared" si="10"/>
        <v>הערות</v>
      </c>
      <c r="R34" s="152"/>
      <c r="S34" s="152"/>
      <c r="T34" s="152"/>
      <c r="U34" s="152"/>
    </row>
    <row r="35" spans="1:21" ht="14.4" x14ac:dyDescent="0.3">
      <c r="A35" s="5">
        <v>1</v>
      </c>
      <c r="B35" s="4" t="s">
        <v>292</v>
      </c>
      <c r="C35" s="101">
        <f>'שאלון למילוי מגיש הבקשה - חובה'!$G$35</f>
        <v>0</v>
      </c>
      <c r="D35" s="7">
        <v>4000</v>
      </c>
      <c r="E35" s="7">
        <f t="shared" ref="E35:E36" si="11">C35*D35</f>
        <v>0</v>
      </c>
      <c r="F35" s="8"/>
      <c r="G35" s="167">
        <f>D35*F35</f>
        <v>0</v>
      </c>
      <c r="H35" s="168" t="str">
        <f t="shared" ref="H35:H36" si="12">IF(F35&gt;C35,"נא להסביר חריגה","")</f>
        <v/>
      </c>
      <c r="I35" s="9"/>
      <c r="J35" s="35"/>
      <c r="K35" s="22"/>
      <c r="L35" s="22"/>
      <c r="M35" s="48"/>
      <c r="N35" s="23"/>
      <c r="O35" s="169">
        <f t="shared" ref="O35:O36" si="13">IF(N35="",0,N35-G35)</f>
        <v>0</v>
      </c>
      <c r="P35" s="170">
        <f>IF(G35=0,0,O35/G35)</f>
        <v>0</v>
      </c>
      <c r="Q35" s="22"/>
      <c r="R35" s="152"/>
      <c r="S35" s="152"/>
      <c r="T35" s="152"/>
      <c r="U35" s="152"/>
    </row>
    <row r="36" spans="1:21" ht="14.4" x14ac:dyDescent="0.3">
      <c r="A36" s="5">
        <v>2</v>
      </c>
      <c r="B36" s="4" t="s">
        <v>189</v>
      </c>
      <c r="C36" s="101">
        <f>'שאלון למילוי מגיש הבקשה - חובה'!$G$35</f>
        <v>0</v>
      </c>
      <c r="D36" s="7">
        <v>5000</v>
      </c>
      <c r="E36" s="7">
        <f t="shared" si="11"/>
        <v>0</v>
      </c>
      <c r="F36" s="8"/>
      <c r="G36" s="167">
        <f t="shared" ref="G36" si="14">D36*F36</f>
        <v>0</v>
      </c>
      <c r="H36" s="168" t="str">
        <f t="shared" si="12"/>
        <v/>
      </c>
      <c r="I36" s="9"/>
      <c r="J36" s="35"/>
      <c r="K36" s="22"/>
      <c r="L36" s="22"/>
      <c r="M36" s="48"/>
      <c r="N36" s="23"/>
      <c r="O36" s="169">
        <f t="shared" si="13"/>
        <v>0</v>
      </c>
      <c r="P36" s="170">
        <f>IF(G36=0,0,O36/G36)</f>
        <v>0</v>
      </c>
      <c r="Q36" s="22"/>
      <c r="R36" s="152"/>
      <c r="S36" s="152"/>
      <c r="T36" s="152"/>
      <c r="U36" s="152"/>
    </row>
    <row r="37" spans="1:21" x14ac:dyDescent="0.25">
      <c r="A37" s="5"/>
      <c r="B37" s="4" t="s">
        <v>190</v>
      </c>
      <c r="C37" s="7"/>
      <c r="D37" s="7"/>
      <c r="E37" s="7">
        <f>SUM(E35:E36)</f>
        <v>0</v>
      </c>
      <c r="F37" s="167"/>
      <c r="G37" s="7">
        <f>SUM(G35:G36)</f>
        <v>0</v>
      </c>
      <c r="H37" s="168" t="str">
        <f>IF(F37&gt;C37,"נא להסביר חריגה כאן","")</f>
        <v/>
      </c>
      <c r="I37" s="168"/>
      <c r="J37" s="7">
        <f>SUM(J35:J36)</f>
        <v>0</v>
      </c>
      <c r="K37" s="167"/>
      <c r="L37" s="10"/>
      <c r="M37" s="11"/>
      <c r="N37" s="7">
        <f>SUM(N35:N36)</f>
        <v>0</v>
      </c>
      <c r="O37" s="169">
        <f>SUM(O35:O36)</f>
        <v>0</v>
      </c>
      <c r="P37" s="170">
        <f>IF(G37=0,0,O37/G37)</f>
        <v>0</v>
      </c>
      <c r="Q37" s="96"/>
      <c r="R37" s="28"/>
      <c r="S37" s="28"/>
      <c r="T37" s="28"/>
      <c r="U37" s="28"/>
    </row>
    <row r="38" spans="1:21" x14ac:dyDescent="0.25">
      <c r="A38" s="13"/>
      <c r="B38" s="208"/>
      <c r="C38" s="15"/>
      <c r="D38" s="15"/>
      <c r="E38" s="15"/>
      <c r="F38" s="15"/>
      <c r="G38" s="152"/>
      <c r="H38" s="28"/>
      <c r="I38" s="152"/>
      <c r="J38" s="152"/>
      <c r="K38" s="152"/>
      <c r="L38" s="152"/>
      <c r="M38" s="152"/>
      <c r="N38" s="152"/>
      <c r="O38" s="203"/>
      <c r="P38" s="152"/>
      <c r="Q38" s="152"/>
      <c r="R38" s="152"/>
      <c r="S38" s="152"/>
      <c r="T38" s="152"/>
      <c r="U38" s="152"/>
    </row>
    <row r="39" spans="1:21" x14ac:dyDescent="0.25">
      <c r="A39" s="29" t="s">
        <v>21</v>
      </c>
      <c r="B39" s="26" t="s">
        <v>142</v>
      </c>
      <c r="C39" s="93"/>
      <c r="D39" s="93"/>
      <c r="E39" s="102"/>
      <c r="F39" s="3" t="s">
        <v>143</v>
      </c>
      <c r="G39" s="1"/>
      <c r="H39" s="93"/>
      <c r="I39" s="2"/>
      <c r="J39" s="162" t="s">
        <v>204</v>
      </c>
      <c r="K39" s="3" t="s">
        <v>169</v>
      </c>
      <c r="L39" s="1"/>
      <c r="M39" s="163"/>
      <c r="N39" s="1"/>
      <c r="O39" s="206"/>
      <c r="P39" s="1"/>
      <c r="Q39" s="2"/>
      <c r="R39" s="152"/>
      <c r="S39" s="152"/>
      <c r="T39" s="152"/>
      <c r="U39" s="152"/>
    </row>
    <row r="40" spans="1:21" s="207" customFormat="1" ht="41.4" x14ac:dyDescent="0.25">
      <c r="A40" s="4" t="str">
        <f>A$12</f>
        <v xml:space="preserve">מס'  </v>
      </c>
      <c r="B40" s="4" t="str">
        <f t="shared" ref="B40:Q40" si="15">B$12</f>
        <v xml:space="preserve">ציוד </v>
      </c>
      <c r="C40" s="4" t="str">
        <f t="shared" si="15"/>
        <v xml:space="preserve">כמות תקן   </v>
      </c>
      <c r="D40" s="4" t="str">
        <f t="shared" si="15"/>
        <v xml:space="preserve">מחיר התקן ליחידה כולל מע"מ   </v>
      </c>
      <c r="E40" s="4" t="str">
        <f t="shared" si="15"/>
        <v>עלות ציוד התקן כולל מע"מ</v>
      </c>
      <c r="F40" s="4" t="str">
        <f t="shared" si="15"/>
        <v>כמות הציוד המבוקש</v>
      </c>
      <c r="G40" s="4" t="str">
        <f t="shared" si="15"/>
        <v xml:space="preserve">סך עלות הציוד המבוקש כולל מע"מ  </v>
      </c>
      <c r="H40" s="4" t="str">
        <f t="shared" si="15"/>
        <v>התראת חריגה</v>
      </c>
      <c r="I40" s="4" t="str">
        <f t="shared" si="15"/>
        <v>הערות/ הסבר חריגות</v>
      </c>
      <c r="J40" s="4" t="str">
        <f t="shared" si="15"/>
        <v>צפי עלות רכישה כולל מע"מ</v>
      </c>
      <c r="K40" s="4" t="str">
        <f t="shared" si="15"/>
        <v>שם ספק</v>
      </c>
      <c r="L40" s="4" t="str">
        <f t="shared" si="15"/>
        <v>מס חשבונית</v>
      </c>
      <c r="M40" s="4" t="str">
        <f t="shared" si="15"/>
        <v>תאריך חשבונית</v>
      </c>
      <c r="N40" s="4" t="str">
        <f t="shared" si="15"/>
        <v>סכום - שנרכש בפועל כולל מע"מ</v>
      </c>
      <c r="O40" s="55" t="str">
        <f t="shared" si="15"/>
        <v>הפרש בין הסכום שנרכש בפועל לעלות שאושרה</v>
      </c>
      <c r="P40" s="4" t="str">
        <f t="shared" si="15"/>
        <v>שיעור ההפרש</v>
      </c>
      <c r="Q40" s="4" t="str">
        <f t="shared" si="15"/>
        <v>הערות</v>
      </c>
      <c r="R40" s="152"/>
      <c r="S40" s="152"/>
      <c r="T40" s="152"/>
      <c r="U40" s="152"/>
    </row>
    <row r="41" spans="1:21" ht="14.4" x14ac:dyDescent="0.3">
      <c r="A41" s="17">
        <v>1</v>
      </c>
      <c r="B41" s="4" t="s">
        <v>165</v>
      </c>
      <c r="C41" s="101">
        <f>ROUNDUP(1.3*'שאלון למילוי מגיש הבקשה - חובה'!$G$35,0)</f>
        <v>0</v>
      </c>
      <c r="D41" s="18">
        <v>250</v>
      </c>
      <c r="E41" s="7">
        <f t="shared" ref="E41:E46" si="16">C41*D41</f>
        <v>0</v>
      </c>
      <c r="F41" s="8"/>
      <c r="G41" s="167">
        <f>D41*F41</f>
        <v>0</v>
      </c>
      <c r="H41" s="168" t="str">
        <f t="shared" ref="H41:H46" si="17">IF(F41&gt;C41,"נא להסביר חריגה","")</f>
        <v/>
      </c>
      <c r="I41" s="9"/>
      <c r="J41" s="35"/>
      <c r="K41" s="22"/>
      <c r="L41" s="22"/>
      <c r="M41" s="48"/>
      <c r="N41" s="23"/>
      <c r="O41" s="169">
        <f t="shared" ref="O41:O46" si="18">IF(N41="",0,N41-G41)</f>
        <v>0</v>
      </c>
      <c r="P41" s="170">
        <f t="shared" ref="P41:P47" si="19">IF(G41=0,0,O41/G41)</f>
        <v>0</v>
      </c>
      <c r="Q41" s="22"/>
      <c r="R41" s="152"/>
      <c r="S41" s="152"/>
      <c r="T41" s="152"/>
      <c r="U41" s="152"/>
    </row>
    <row r="42" spans="1:21" ht="14.4" x14ac:dyDescent="0.3">
      <c r="A42" s="19">
        <v>2</v>
      </c>
      <c r="B42" s="4" t="s">
        <v>192</v>
      </c>
      <c r="C42" s="101">
        <f>ROUNDUP(1.3*'שאלון למילוי מגיש הבקשה - חובה'!$G$35,0)</f>
        <v>0</v>
      </c>
      <c r="D42" s="7">
        <v>450</v>
      </c>
      <c r="E42" s="7">
        <f t="shared" si="16"/>
        <v>0</v>
      </c>
      <c r="F42" s="8"/>
      <c r="G42" s="167">
        <f t="shared" ref="G42:G46" si="20">D42*F42</f>
        <v>0</v>
      </c>
      <c r="H42" s="168" t="str">
        <f t="shared" si="17"/>
        <v/>
      </c>
      <c r="I42" s="9"/>
      <c r="J42" s="35"/>
      <c r="K42" s="22"/>
      <c r="L42" s="22"/>
      <c r="M42" s="48"/>
      <c r="N42" s="23"/>
      <c r="O42" s="169">
        <f t="shared" si="18"/>
        <v>0</v>
      </c>
      <c r="P42" s="170">
        <f t="shared" si="19"/>
        <v>0</v>
      </c>
      <c r="Q42" s="22"/>
      <c r="R42" s="152"/>
      <c r="S42" s="152"/>
      <c r="T42" s="152"/>
      <c r="U42" s="152"/>
    </row>
    <row r="43" spans="1:21" ht="14.4" x14ac:dyDescent="0.3">
      <c r="A43" s="19">
        <v>3</v>
      </c>
      <c r="B43" s="4" t="s">
        <v>193</v>
      </c>
      <c r="C43" s="101">
        <f>ROUNDUP(1.3*'שאלון למילוי מגיש הבקשה - חובה'!$G$35,0)</f>
        <v>0</v>
      </c>
      <c r="D43" s="7">
        <v>200</v>
      </c>
      <c r="E43" s="7">
        <f t="shared" si="16"/>
        <v>0</v>
      </c>
      <c r="F43" s="8"/>
      <c r="G43" s="167">
        <f t="shared" si="20"/>
        <v>0</v>
      </c>
      <c r="H43" s="168" t="str">
        <f t="shared" si="17"/>
        <v/>
      </c>
      <c r="I43" s="9"/>
      <c r="J43" s="35"/>
      <c r="K43" s="22"/>
      <c r="L43" s="22"/>
      <c r="M43" s="48"/>
      <c r="N43" s="23"/>
      <c r="O43" s="169">
        <f t="shared" si="18"/>
        <v>0</v>
      </c>
      <c r="P43" s="170">
        <f t="shared" si="19"/>
        <v>0</v>
      </c>
      <c r="Q43" s="22"/>
      <c r="R43" s="152"/>
      <c r="S43" s="152"/>
      <c r="T43" s="152"/>
      <c r="U43" s="152"/>
    </row>
    <row r="44" spans="1:21" ht="14.4" x14ac:dyDescent="0.3">
      <c r="A44" s="19">
        <v>4</v>
      </c>
      <c r="B44" s="4" t="s">
        <v>194</v>
      </c>
      <c r="C44" s="101">
        <f>ROUNDUP(1.3*'שאלון למילוי מגיש הבקשה - חובה'!$G$35,0)</f>
        <v>0</v>
      </c>
      <c r="D44" s="7">
        <v>300</v>
      </c>
      <c r="E44" s="7">
        <f t="shared" si="16"/>
        <v>0</v>
      </c>
      <c r="F44" s="8"/>
      <c r="G44" s="167">
        <f t="shared" si="20"/>
        <v>0</v>
      </c>
      <c r="H44" s="168" t="str">
        <f t="shared" si="17"/>
        <v/>
      </c>
      <c r="I44" s="9"/>
      <c r="J44" s="35"/>
      <c r="K44" s="22"/>
      <c r="L44" s="22"/>
      <c r="M44" s="48"/>
      <c r="N44" s="23"/>
      <c r="O44" s="169">
        <f t="shared" si="18"/>
        <v>0</v>
      </c>
      <c r="P44" s="170">
        <f t="shared" si="19"/>
        <v>0</v>
      </c>
      <c r="Q44" s="22"/>
      <c r="R44" s="152"/>
      <c r="S44" s="152"/>
      <c r="T44" s="152"/>
      <c r="U44" s="152"/>
    </row>
    <row r="45" spans="1:21" ht="14.4" x14ac:dyDescent="0.3">
      <c r="A45" s="19">
        <v>5</v>
      </c>
      <c r="B45" s="4" t="s">
        <v>195</v>
      </c>
      <c r="C45" s="101">
        <f>ROUNDUP(1.3*'שאלון למילוי מגיש הבקשה - חובה'!$G$35,0)</f>
        <v>0</v>
      </c>
      <c r="D45" s="7">
        <v>300</v>
      </c>
      <c r="E45" s="7">
        <f t="shared" si="16"/>
        <v>0</v>
      </c>
      <c r="F45" s="8"/>
      <c r="G45" s="167">
        <f t="shared" si="20"/>
        <v>0</v>
      </c>
      <c r="H45" s="168" t="str">
        <f t="shared" si="17"/>
        <v/>
      </c>
      <c r="I45" s="9"/>
      <c r="J45" s="35"/>
      <c r="K45" s="22"/>
      <c r="L45" s="22"/>
      <c r="M45" s="48"/>
      <c r="N45" s="23"/>
      <c r="O45" s="169">
        <f t="shared" si="18"/>
        <v>0</v>
      </c>
      <c r="P45" s="170">
        <f t="shared" si="19"/>
        <v>0</v>
      </c>
      <c r="Q45" s="22"/>
      <c r="R45" s="152"/>
      <c r="S45" s="152"/>
      <c r="T45" s="152"/>
      <c r="U45" s="152"/>
    </row>
    <row r="46" spans="1:21" ht="14.4" x14ac:dyDescent="0.3">
      <c r="A46" s="19">
        <v>6</v>
      </c>
      <c r="B46" s="4" t="s">
        <v>191</v>
      </c>
      <c r="C46" s="101">
        <f>ROUNDUP(1.3*'שאלון למילוי מגיש הבקשה - חובה'!$G$35,0)</f>
        <v>0</v>
      </c>
      <c r="D46" s="7">
        <v>200</v>
      </c>
      <c r="E46" s="7">
        <f t="shared" si="16"/>
        <v>0</v>
      </c>
      <c r="F46" s="8"/>
      <c r="G46" s="167">
        <f t="shared" si="20"/>
        <v>0</v>
      </c>
      <c r="H46" s="168" t="str">
        <f t="shared" si="17"/>
        <v/>
      </c>
      <c r="I46" s="9"/>
      <c r="J46" s="35"/>
      <c r="K46" s="22"/>
      <c r="L46" s="22"/>
      <c r="M46" s="48"/>
      <c r="N46" s="23"/>
      <c r="O46" s="169">
        <f t="shared" si="18"/>
        <v>0</v>
      </c>
      <c r="P46" s="170">
        <f t="shared" si="19"/>
        <v>0</v>
      </c>
      <c r="Q46" s="22"/>
      <c r="R46" s="152"/>
      <c r="S46" s="152"/>
      <c r="T46" s="152"/>
      <c r="U46" s="152"/>
    </row>
    <row r="47" spans="1:21" x14ac:dyDescent="0.25">
      <c r="A47" s="19"/>
      <c r="B47" s="4" t="s">
        <v>15</v>
      </c>
      <c r="C47" s="7"/>
      <c r="D47" s="7"/>
      <c r="E47" s="7">
        <f>SUM(E41:E46)</f>
        <v>0</v>
      </c>
      <c r="F47" s="167"/>
      <c r="G47" s="7">
        <f>SUM(G41:G46)</f>
        <v>0</v>
      </c>
      <c r="H47" s="167"/>
      <c r="I47" s="167"/>
      <c r="J47" s="7">
        <f>SUM(J41:J46)</f>
        <v>0</v>
      </c>
      <c r="K47" s="167"/>
      <c r="L47" s="10"/>
      <c r="M47" s="11"/>
      <c r="N47" s="167">
        <f>SUM(N41:N46)</f>
        <v>0</v>
      </c>
      <c r="O47" s="169">
        <f>SUM(O41:O46)</f>
        <v>0</v>
      </c>
      <c r="P47" s="170">
        <f t="shared" si="19"/>
        <v>0</v>
      </c>
      <c r="Q47" s="96"/>
      <c r="R47" s="28"/>
      <c r="S47" s="28"/>
      <c r="T47" s="28"/>
      <c r="U47" s="28"/>
    </row>
    <row r="48" spans="1:21" x14ac:dyDescent="0.25">
      <c r="A48" s="13"/>
      <c r="B48" s="14"/>
      <c r="C48" s="15"/>
      <c r="D48" s="15"/>
      <c r="E48" s="15"/>
      <c r="F48" s="172"/>
      <c r="G48" s="15"/>
      <c r="H48" s="172"/>
      <c r="I48" s="172"/>
      <c r="J48" s="15"/>
      <c r="K48" s="172"/>
      <c r="L48" s="16"/>
      <c r="M48" s="173"/>
      <c r="N48" s="172"/>
      <c r="O48" s="175"/>
      <c r="P48" s="176"/>
      <c r="Q48" s="174"/>
      <c r="R48" s="28"/>
      <c r="S48" s="28"/>
      <c r="T48" s="28"/>
      <c r="U48" s="28"/>
    </row>
    <row r="49" spans="1:21" s="215" customFormat="1" x14ac:dyDescent="0.25">
      <c r="A49" s="41" t="s">
        <v>198</v>
      </c>
      <c r="B49" s="42" t="str">
        <f>B10</f>
        <v xml:space="preserve">קטגוריה א'- ציוד וריהוט לחדרי קבוצות  </v>
      </c>
      <c r="C49" s="43"/>
      <c r="D49" s="43"/>
      <c r="E49" s="43"/>
      <c r="F49" s="210"/>
      <c r="G49" s="210"/>
      <c r="H49" s="210"/>
      <c r="I49" s="210"/>
      <c r="J49" s="210"/>
      <c r="K49" s="210"/>
      <c r="L49" s="44"/>
      <c r="M49" s="211"/>
      <c r="N49" s="212"/>
      <c r="O49" s="213"/>
      <c r="P49" s="212"/>
      <c r="Q49" s="212"/>
      <c r="R49" s="214"/>
      <c r="S49" s="214"/>
      <c r="T49" s="214"/>
      <c r="U49" s="214"/>
    </row>
    <row r="50" spans="1:21" ht="41.4" x14ac:dyDescent="0.25">
      <c r="A50" s="182"/>
      <c r="B50" s="77" t="str">
        <f>B49</f>
        <v xml:space="preserve">קטגוריה א'- ציוד וריהוט לחדרי קבוצות  </v>
      </c>
      <c r="C50" s="20"/>
      <c r="D50" s="33"/>
      <c r="E50" s="4" t="str">
        <f t="shared" ref="E50:P50" si="21">E$12</f>
        <v>עלות ציוד התקן כולל מע"מ</v>
      </c>
      <c r="F50" s="4"/>
      <c r="G50" s="4" t="str">
        <f t="shared" si="21"/>
        <v xml:space="preserve">סך עלות הציוד המבוקש כולל מע"מ  </v>
      </c>
      <c r="H50" s="21"/>
      <c r="I50" s="37"/>
      <c r="J50" s="4" t="str">
        <f t="shared" si="21"/>
        <v>צפי עלות רכישה כולל מע"מ</v>
      </c>
      <c r="K50" s="21"/>
      <c r="L50" s="40"/>
      <c r="M50" s="37"/>
      <c r="N50" s="4" t="str">
        <f t="shared" si="21"/>
        <v>סכום - שנרכש בפועל כולל מע"מ</v>
      </c>
      <c r="O50" s="55" t="str">
        <f t="shared" si="21"/>
        <v>הפרש בין הסכום שנרכש בפועל לעלות שאושרה</v>
      </c>
      <c r="P50" s="21" t="str">
        <f t="shared" si="21"/>
        <v>שיעור ההפרש</v>
      </c>
      <c r="Q50" s="37"/>
      <c r="R50" s="152"/>
      <c r="S50" s="152"/>
      <c r="T50" s="152"/>
      <c r="U50" s="152"/>
    </row>
    <row r="51" spans="1:21" s="215" customFormat="1" x14ac:dyDescent="0.25">
      <c r="A51" s="216"/>
      <c r="B51" s="107" t="s">
        <v>294</v>
      </c>
      <c r="C51" s="108"/>
      <c r="D51" s="109"/>
      <c r="E51" s="6">
        <f>E24+E31+E37+E47</f>
        <v>0</v>
      </c>
      <c r="F51" s="103"/>
      <c r="G51" s="6">
        <f>G24+G31+G37+G47</f>
        <v>0</v>
      </c>
      <c r="H51" s="104"/>
      <c r="I51" s="105"/>
      <c r="J51" s="110">
        <f>J24+J31+J37+J47</f>
        <v>0</v>
      </c>
      <c r="K51" s="104"/>
      <c r="L51" s="106"/>
      <c r="M51" s="105"/>
      <c r="N51" s="217">
        <f>N24+N31+N37+N47</f>
        <v>0</v>
      </c>
      <c r="O51" s="218">
        <f t="shared" ref="O51" si="22">IF(N51="",0,N51-G51)</f>
        <v>0</v>
      </c>
      <c r="P51" s="219">
        <f t="shared" ref="P51" si="23">IF(G51=0,0,O51/G51)</f>
        <v>0</v>
      </c>
      <c r="Q51" s="220"/>
      <c r="R51" s="221"/>
      <c r="S51" s="221"/>
      <c r="T51" s="221"/>
      <c r="U51" s="221"/>
    </row>
    <row r="52" spans="1:21" x14ac:dyDescent="0.25">
      <c r="A52" s="152"/>
      <c r="B52" s="154"/>
      <c r="C52" s="152"/>
      <c r="D52" s="152"/>
      <c r="E52" s="152"/>
      <c r="F52" s="152"/>
      <c r="G52" s="152"/>
      <c r="H52" s="28"/>
      <c r="I52" s="152"/>
      <c r="J52" s="152"/>
      <c r="K52" s="152"/>
      <c r="L52" s="152"/>
      <c r="M52" s="152"/>
      <c r="N52" s="152"/>
      <c r="O52" s="203"/>
      <c r="P52" s="152"/>
      <c r="Q52" s="152"/>
      <c r="R52" s="152"/>
      <c r="S52" s="152"/>
      <c r="T52" s="152"/>
      <c r="U52" s="152"/>
    </row>
    <row r="53" spans="1:21" x14ac:dyDescent="0.25">
      <c r="A53" s="152"/>
      <c r="B53" s="154"/>
      <c r="C53" s="152"/>
      <c r="D53" s="152"/>
      <c r="E53" s="152"/>
      <c r="F53" s="152"/>
      <c r="G53" s="152"/>
      <c r="H53" s="28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</row>
    <row r="54" spans="1:21" x14ac:dyDescent="0.25">
      <c r="A54" s="152"/>
      <c r="B54" s="154"/>
      <c r="C54" s="152"/>
      <c r="D54" s="152"/>
      <c r="E54" s="152"/>
      <c r="F54" s="152"/>
      <c r="G54" s="152"/>
      <c r="H54" s="28"/>
      <c r="I54" s="152"/>
      <c r="J54" s="152"/>
      <c r="K54" s="152"/>
      <c r="L54" s="152"/>
      <c r="M54" s="152"/>
      <c r="N54" s="152"/>
      <c r="O54" s="203"/>
      <c r="P54" s="152"/>
      <c r="Q54" s="152"/>
      <c r="R54" s="152"/>
      <c r="S54" s="152"/>
      <c r="T54" s="152"/>
      <c r="U54" s="152"/>
    </row>
    <row r="55" spans="1:21" x14ac:dyDescent="0.25">
      <c r="A55" s="152"/>
      <c r="B55" s="154"/>
      <c r="C55" s="152"/>
      <c r="D55" s="152"/>
      <c r="E55" s="152"/>
      <c r="F55" s="152"/>
      <c r="G55" s="152"/>
      <c r="H55" s="28"/>
      <c r="I55" s="152"/>
      <c r="J55" s="152"/>
      <c r="K55" s="152"/>
      <c r="L55" s="152"/>
      <c r="M55" s="152"/>
      <c r="N55" s="152"/>
      <c r="O55" s="203"/>
      <c r="P55" s="152"/>
      <c r="Q55" s="152"/>
      <c r="R55" s="152"/>
      <c r="S55" s="152"/>
      <c r="T55" s="152"/>
      <c r="U55" s="152"/>
    </row>
    <row r="56" spans="1:21" x14ac:dyDescent="0.25">
      <c r="A56" s="152"/>
      <c r="B56" s="154"/>
      <c r="C56" s="152"/>
      <c r="D56" s="152"/>
      <c r="E56" s="152"/>
      <c r="F56" s="152"/>
      <c r="G56" s="152"/>
      <c r="H56" s="28"/>
      <c r="I56" s="152"/>
      <c r="J56" s="152"/>
      <c r="K56" s="152"/>
      <c r="L56" s="152"/>
      <c r="M56" s="152"/>
      <c r="N56" s="152"/>
      <c r="O56" s="203"/>
      <c r="P56" s="152"/>
      <c r="Q56" s="152"/>
      <c r="R56" s="152"/>
      <c r="S56" s="152"/>
      <c r="T56" s="152"/>
      <c r="U56" s="152"/>
    </row>
    <row r="57" spans="1:21" x14ac:dyDescent="0.25">
      <c r="A57" s="152"/>
      <c r="B57" s="151"/>
      <c r="C57" s="152"/>
      <c r="D57" s="152"/>
      <c r="E57" s="152"/>
      <c r="F57" s="152"/>
      <c r="G57" s="152"/>
      <c r="H57" s="28"/>
      <c r="I57" s="152"/>
      <c r="J57" s="152"/>
      <c r="K57" s="152"/>
      <c r="L57" s="152"/>
      <c r="M57" s="152"/>
      <c r="N57" s="152"/>
      <c r="O57" s="203"/>
      <c r="P57" s="152"/>
      <c r="Q57" s="152"/>
      <c r="R57" s="152"/>
      <c r="S57" s="152"/>
      <c r="T57" s="152"/>
      <c r="U57" s="152"/>
    </row>
    <row r="58" spans="1:21" x14ac:dyDescent="0.25">
      <c r="A58" s="152"/>
      <c r="B58" s="151"/>
      <c r="C58" s="152"/>
      <c r="D58" s="152"/>
      <c r="E58" s="152"/>
      <c r="F58" s="152"/>
      <c r="G58" s="152"/>
      <c r="H58" s="28"/>
      <c r="I58" s="152"/>
      <c r="J58" s="152"/>
      <c r="K58" s="152"/>
      <c r="L58" s="152"/>
      <c r="M58" s="152"/>
      <c r="N58" s="152"/>
      <c r="O58" s="203"/>
      <c r="P58" s="152"/>
      <c r="Q58" s="152"/>
      <c r="R58" s="152"/>
      <c r="S58" s="152"/>
      <c r="T58" s="152"/>
      <c r="U58" s="152"/>
    </row>
    <row r="59" spans="1:21" x14ac:dyDescent="0.25">
      <c r="A59" s="152"/>
      <c r="B59" s="151"/>
      <c r="C59" s="152"/>
      <c r="D59" s="152"/>
      <c r="E59" s="152"/>
      <c r="F59" s="152"/>
      <c r="G59" s="152"/>
      <c r="H59" s="28"/>
      <c r="I59" s="152"/>
      <c r="J59" s="152"/>
      <c r="K59" s="152"/>
      <c r="L59" s="152"/>
      <c r="M59" s="152"/>
      <c r="N59" s="152"/>
      <c r="O59" s="203"/>
      <c r="P59" s="152"/>
      <c r="Q59" s="152"/>
      <c r="R59" s="152"/>
      <c r="S59" s="152"/>
      <c r="T59" s="152"/>
      <c r="U59" s="152"/>
    </row>
    <row r="60" spans="1:21" x14ac:dyDescent="0.25">
      <c r="A60" s="152"/>
      <c r="B60" s="151"/>
      <c r="C60" s="152"/>
      <c r="D60" s="152"/>
      <c r="E60" s="152"/>
      <c r="F60" s="152"/>
      <c r="G60" s="152"/>
      <c r="H60" s="28"/>
      <c r="I60" s="152"/>
      <c r="J60" s="152"/>
      <c r="K60" s="152"/>
      <c r="L60" s="152"/>
      <c r="M60" s="152"/>
      <c r="N60" s="152"/>
      <c r="O60" s="203"/>
      <c r="P60" s="152"/>
      <c r="Q60" s="152"/>
      <c r="R60" s="152"/>
      <c r="S60" s="152"/>
      <c r="T60" s="152"/>
      <c r="U60" s="152"/>
    </row>
    <row r="61" spans="1:21" x14ac:dyDescent="0.25">
      <c r="A61" s="152"/>
      <c r="B61" s="151"/>
      <c r="C61" s="152"/>
      <c r="D61" s="152"/>
      <c r="E61" s="152"/>
      <c r="F61" s="152"/>
      <c r="G61" s="152"/>
      <c r="H61" s="28"/>
      <c r="I61" s="152"/>
      <c r="J61" s="152"/>
      <c r="K61" s="152"/>
      <c r="L61" s="152"/>
      <c r="M61" s="152"/>
      <c r="N61" s="152"/>
      <c r="O61" s="203"/>
      <c r="P61" s="152"/>
      <c r="Q61" s="152"/>
      <c r="R61" s="152"/>
      <c r="S61" s="152"/>
      <c r="T61" s="152"/>
      <c r="U61" s="152"/>
    </row>
    <row r="62" spans="1:21" x14ac:dyDescent="0.25">
      <c r="A62" s="152"/>
      <c r="B62" s="151"/>
      <c r="C62" s="152"/>
      <c r="D62" s="152"/>
      <c r="E62" s="152"/>
      <c r="F62" s="152"/>
      <c r="G62" s="152"/>
      <c r="H62" s="28"/>
      <c r="I62" s="152"/>
      <c r="J62" s="152"/>
      <c r="K62" s="152"/>
      <c r="L62" s="152"/>
      <c r="M62" s="152"/>
      <c r="N62" s="152"/>
      <c r="O62" s="203"/>
      <c r="P62" s="152"/>
      <c r="Q62" s="152"/>
      <c r="R62" s="152"/>
      <c r="S62" s="152"/>
      <c r="T62" s="152"/>
      <c r="U62" s="152"/>
    </row>
    <row r="63" spans="1:21" x14ac:dyDescent="0.25">
      <c r="A63" s="152"/>
      <c r="B63" s="151"/>
      <c r="C63" s="152"/>
      <c r="D63" s="152"/>
      <c r="E63" s="152"/>
      <c r="F63" s="152"/>
      <c r="G63" s="152"/>
      <c r="H63" s="28"/>
      <c r="I63" s="152"/>
      <c r="J63" s="152"/>
      <c r="K63" s="152"/>
      <c r="L63" s="152"/>
      <c r="M63" s="152"/>
      <c r="N63" s="152"/>
      <c r="O63" s="203"/>
      <c r="P63" s="152"/>
      <c r="Q63" s="152"/>
      <c r="R63" s="152"/>
      <c r="S63" s="152"/>
      <c r="T63" s="152"/>
      <c r="U63" s="152"/>
    </row>
    <row r="64" spans="1:21" x14ac:dyDescent="0.25">
      <c r="A64" s="152"/>
      <c r="B64" s="151"/>
      <c r="C64" s="152"/>
      <c r="D64" s="152"/>
      <c r="E64" s="152"/>
      <c r="F64" s="152"/>
      <c r="G64" s="152"/>
      <c r="H64" s="28"/>
      <c r="I64" s="152"/>
      <c r="J64" s="152"/>
      <c r="K64" s="152"/>
      <c r="L64" s="152"/>
      <c r="M64" s="152"/>
      <c r="N64" s="152"/>
      <c r="O64" s="203"/>
      <c r="P64" s="152"/>
      <c r="Q64" s="152"/>
      <c r="R64" s="152"/>
      <c r="S64" s="152"/>
      <c r="T64" s="152"/>
      <c r="U64" s="152"/>
    </row>
    <row r="65" spans="1:21" x14ac:dyDescent="0.25">
      <c r="A65" s="152"/>
      <c r="B65" s="151"/>
      <c r="C65" s="152"/>
      <c r="D65" s="152"/>
      <c r="E65" s="152"/>
      <c r="F65" s="152"/>
      <c r="G65" s="152"/>
      <c r="H65" s="28"/>
      <c r="I65" s="152"/>
      <c r="J65" s="152"/>
      <c r="K65" s="152"/>
      <c r="L65" s="152"/>
      <c r="M65" s="152"/>
      <c r="N65" s="152"/>
      <c r="O65" s="203"/>
      <c r="P65" s="152"/>
      <c r="Q65" s="152"/>
      <c r="R65" s="152"/>
      <c r="S65" s="152"/>
      <c r="T65" s="152"/>
      <c r="U65" s="152"/>
    </row>
    <row r="66" spans="1:21" x14ac:dyDescent="0.25">
      <c r="G66" s="152"/>
    </row>
    <row r="67" spans="1:21" x14ac:dyDescent="0.25">
      <c r="G67" s="152"/>
    </row>
    <row r="68" spans="1:21" x14ac:dyDescent="0.25">
      <c r="G68" s="152"/>
    </row>
    <row r="69" spans="1:21" x14ac:dyDescent="0.25">
      <c r="G69" s="152"/>
    </row>
  </sheetData>
  <sheetProtection algorithmName="SHA-512" hashValue="O+HOREfFIq8uA9IDcdda6Rkb+4akbo/4SQebVyacIRlJcUe9qAzymUSjYO4Z3H4zJ0qj3734Q4ct2hH748M8pg==" saltValue="Ib3Tgh6Kp2/VQPxcN9X7dQ==" spinCount="100000" sheet="1" formatCells="0" formatColumns="0" formatRows="0"/>
  <conditionalFormatting sqref="H13:I23">
    <cfRule type="containsText" dxfId="117" priority="57" operator="containsText" text="נא להסביר חריגה כאן">
      <formula>NOT(ISERROR(SEARCH("נא להסביר חריגה כאן",H13)))</formula>
    </cfRule>
  </conditionalFormatting>
  <conditionalFormatting sqref="H13:H23">
    <cfRule type="cellIs" dxfId="116" priority="55" operator="equal">
      <formula>"נא להסביר חריגה"</formula>
    </cfRule>
    <cfRule type="cellIs" dxfId="115" priority="56" operator="equal">
      <formula>"נא להסביר חריגה"</formula>
    </cfRule>
  </conditionalFormatting>
  <conditionalFormatting sqref="H41:H45">
    <cfRule type="containsText" dxfId="114" priority="36" operator="containsText" text="נא להסביר חריגה כאן">
      <formula>NOT(ISERROR(SEARCH("נא להסביר חריגה כאן",H41)))</formula>
    </cfRule>
  </conditionalFormatting>
  <conditionalFormatting sqref="H41:H45">
    <cfRule type="cellIs" dxfId="113" priority="34" operator="equal">
      <formula>"נא להסביר חריגה"</formula>
    </cfRule>
    <cfRule type="cellIs" dxfId="112" priority="35" operator="equal">
      <formula>"נא להסביר חריגה"</formula>
    </cfRule>
  </conditionalFormatting>
  <conditionalFormatting sqref="H28:H30">
    <cfRule type="cellIs" dxfId="111" priority="40" operator="equal">
      <formula>"נא להסביר חריגה"</formula>
    </cfRule>
    <cfRule type="cellIs" dxfId="110" priority="41" operator="equal">
      <formula>"נא להסביר חריגה"</formula>
    </cfRule>
  </conditionalFormatting>
  <conditionalFormatting sqref="H28:H30">
    <cfRule type="containsText" dxfId="109" priority="42" operator="containsText" text="נא להסביר חריגה כאן">
      <formula>NOT(ISERROR(SEARCH("נא להסביר חריגה כאן",H28)))</formula>
    </cfRule>
  </conditionalFormatting>
  <conditionalFormatting sqref="H35:H36">
    <cfRule type="containsText" dxfId="108" priority="39" operator="containsText" text="נא להסביר חריגה כאן">
      <formula>NOT(ISERROR(SEARCH("נא להסביר חריגה כאן",H35)))</formula>
    </cfRule>
  </conditionalFormatting>
  <conditionalFormatting sqref="H35:H36">
    <cfRule type="cellIs" dxfId="107" priority="37" operator="equal">
      <formula>"נא להסביר חריגה"</formula>
    </cfRule>
    <cfRule type="cellIs" dxfId="106" priority="38" operator="equal">
      <formula>"נא להסביר חריגה"</formula>
    </cfRule>
  </conditionalFormatting>
  <conditionalFormatting sqref="H46">
    <cfRule type="containsText" dxfId="105" priority="33" operator="containsText" text="נא להסביר חריגה כאן">
      <formula>NOT(ISERROR(SEARCH("נא להסביר חריגה כאן",H46)))</formula>
    </cfRule>
  </conditionalFormatting>
  <conditionalFormatting sqref="H46">
    <cfRule type="cellIs" dxfId="104" priority="31" operator="equal">
      <formula>"נא להסביר חריגה"</formula>
    </cfRule>
    <cfRule type="cellIs" dxfId="103" priority="32" operator="equal">
      <formula>"נא להסביר חריגה"</formula>
    </cfRule>
  </conditionalFormatting>
  <conditionalFormatting sqref="J13:J23">
    <cfRule type="containsText" dxfId="102" priority="30" operator="containsText" text="נא להסביר חריגה כאן">
      <formula>NOT(ISERROR(SEARCH("נא להסביר חריגה כאן",J13)))</formula>
    </cfRule>
  </conditionalFormatting>
  <conditionalFormatting sqref="J28:J30">
    <cfRule type="containsText" dxfId="101" priority="29" operator="containsText" text="נא להסביר חריגה כאן">
      <formula>NOT(ISERROR(SEARCH("נא להסביר חריגה כאן",J28)))</formula>
    </cfRule>
  </conditionalFormatting>
  <conditionalFormatting sqref="P13:P24">
    <cfRule type="cellIs" dxfId="100" priority="26" operator="greaterThan">
      <formula>0</formula>
    </cfRule>
  </conditionalFormatting>
  <conditionalFormatting sqref="P28:P31">
    <cfRule type="cellIs" dxfId="99" priority="25" operator="greaterThan">
      <formula>0</formula>
    </cfRule>
  </conditionalFormatting>
  <conditionalFormatting sqref="P35:P37">
    <cfRule type="cellIs" dxfId="98" priority="24" operator="greaterThan">
      <formula>0</formula>
    </cfRule>
  </conditionalFormatting>
  <conditionalFormatting sqref="P41:P48">
    <cfRule type="cellIs" dxfId="97" priority="23" operator="greaterThan">
      <formula>0</formula>
    </cfRule>
  </conditionalFormatting>
  <conditionalFormatting sqref="Q51">
    <cfRule type="cellIs" dxfId="96" priority="22" operator="greaterThan">
      <formula>0</formula>
    </cfRule>
  </conditionalFormatting>
  <conditionalFormatting sqref="P51">
    <cfRule type="cellIs" dxfId="95" priority="21" operator="greaterThan">
      <formula>0</formula>
    </cfRule>
  </conditionalFormatting>
  <conditionalFormatting sqref="O51">
    <cfRule type="cellIs" dxfId="94" priority="6" operator="greaterThan">
      <formula>0</formula>
    </cfRule>
  </conditionalFormatting>
  <conditionalFormatting sqref="O13:O24">
    <cfRule type="cellIs" dxfId="93" priority="15" operator="greaterThan">
      <formula>0</formula>
    </cfRule>
  </conditionalFormatting>
  <conditionalFormatting sqref="O35:O37">
    <cfRule type="cellIs" dxfId="92" priority="8" operator="greaterThan">
      <formula>0</formula>
    </cfRule>
  </conditionalFormatting>
  <conditionalFormatting sqref="O41:O47">
    <cfRule type="cellIs" dxfId="91" priority="7" operator="greaterThan">
      <formula>0</formula>
    </cfRule>
  </conditionalFormatting>
  <conditionalFormatting sqref="O28:O31">
    <cfRule type="cellIs" dxfId="90" priority="9" operator="greaterThan">
      <formula>0</formula>
    </cfRule>
  </conditionalFormatting>
  <conditionalFormatting sqref="J35:J36">
    <cfRule type="containsText" dxfId="89" priority="5" operator="containsText" text="נא להסביר חריגה כאן">
      <formula>NOT(ISERROR(SEARCH("נא להסביר חריגה כאן",J35)))</formula>
    </cfRule>
  </conditionalFormatting>
  <conditionalFormatting sqref="J41:J46">
    <cfRule type="containsText" dxfId="88" priority="4" operator="containsText" text="נא להסביר חריגה כאן">
      <formula>NOT(ISERROR(SEARCH("נא להסביר חריגה כאן",J41)))</formula>
    </cfRule>
  </conditionalFormatting>
  <conditionalFormatting sqref="I28:I30">
    <cfRule type="containsText" dxfId="87" priority="3" operator="containsText" text="נא להסביר חריגה כאן">
      <formula>NOT(ISERROR(SEARCH("נא להסביר חריגה כאן",I28)))</formula>
    </cfRule>
  </conditionalFormatting>
  <conditionalFormatting sqref="I35:I36">
    <cfRule type="containsText" dxfId="86" priority="2" operator="containsText" text="נא להסביר חריגה כאן">
      <formula>NOT(ISERROR(SEARCH("נא להסביר חריגה כאן",I35)))</formula>
    </cfRule>
  </conditionalFormatting>
  <conditionalFormatting sqref="I41:I46">
    <cfRule type="containsText" dxfId="85" priority="1" operator="containsText" text="נא להסביר חריגה כאן">
      <formula>NOT(ISERROR(SEARCH("נא להסביר חריגה כאן",I41)))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9"/>
  <sheetViews>
    <sheetView rightToLeft="1" tabSelected="1" topLeftCell="A31" zoomScaleNormal="100" workbookViewId="0">
      <selection activeCell="D43" sqref="D43"/>
    </sheetView>
  </sheetViews>
  <sheetFormatPr defaultColWidth="9" defaultRowHeight="13.8" x14ac:dyDescent="0.25"/>
  <cols>
    <col min="1" max="1" width="5" style="28" bestFit="1" customWidth="1"/>
    <col min="2" max="2" width="50.3984375" style="28" customWidth="1"/>
    <col min="3" max="3" width="11.8984375" style="28" customWidth="1"/>
    <col min="4" max="4" width="9.09765625" style="28" customWidth="1"/>
    <col min="5" max="5" width="9.5" style="28" bestFit="1" customWidth="1"/>
    <col min="6" max="6" width="8.8984375" style="28" customWidth="1"/>
    <col min="7" max="7" width="10.69921875" style="28" customWidth="1"/>
    <col min="8" max="8" width="13.19921875" style="28" customWidth="1"/>
    <col min="9" max="9" width="22.59765625" style="28" customWidth="1"/>
    <col min="10" max="10" width="9.19921875" style="28" hidden="1" customWidth="1"/>
    <col min="11" max="11" width="11.59765625" style="28" hidden="1" customWidth="1"/>
    <col min="12" max="12" width="7.8984375" style="28" hidden="1" customWidth="1"/>
    <col min="13" max="13" width="10.5" style="28" hidden="1" customWidth="1"/>
    <col min="14" max="14" width="13.3984375" style="28" hidden="1" customWidth="1"/>
    <col min="15" max="15" width="15.09765625" style="148" hidden="1" customWidth="1"/>
    <col min="16" max="16" width="9" style="28" hidden="1" customWidth="1"/>
    <col min="17" max="17" width="16.3984375" style="28" hidden="1" customWidth="1"/>
    <col min="18" max="16384" width="9" style="28"/>
  </cols>
  <sheetData>
    <row r="1" spans="1:17" ht="15.6" x14ac:dyDescent="0.3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  <c r="D1" s="154"/>
      <c r="E1" s="154"/>
      <c r="F1" s="154"/>
    </row>
    <row r="2" spans="1:17" ht="15.6" x14ac:dyDescent="0.3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  <c r="D2" s="154"/>
      <c r="E2" s="154"/>
      <c r="F2" s="154"/>
    </row>
    <row r="3" spans="1:17" ht="15.6" x14ac:dyDescent="0.3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  <c r="D3" s="154"/>
      <c r="E3" s="154"/>
      <c r="F3" s="154"/>
    </row>
    <row r="4" spans="1:17" ht="15.6" x14ac:dyDescent="0.3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  <c r="D4" s="154"/>
      <c r="E4" s="154"/>
      <c r="F4" s="154"/>
    </row>
    <row r="5" spans="1:17" ht="15.6" x14ac:dyDescent="0.3">
      <c r="A5" s="146"/>
      <c r="B5" s="149" t="s">
        <v>279</v>
      </c>
      <c r="C5" s="147"/>
    </row>
    <row r="6" spans="1:17" x14ac:dyDescent="0.25">
      <c r="A6" s="150"/>
      <c r="B6" s="151" t="str">
        <f>'קטגוריה א - ציוד לחדרי קבוצות'!B6</f>
        <v>כמויות התקן משתנות בהתאם  למספר האנשים במסגרת ומספר חדרי קבוצות.</v>
      </c>
      <c r="C6" s="152"/>
      <c r="E6" s="152"/>
      <c r="F6" s="152"/>
      <c r="G6" s="152"/>
      <c r="H6" s="152"/>
    </row>
    <row r="7" spans="1:17" x14ac:dyDescent="0.25">
      <c r="A7" s="152"/>
      <c r="B7" s="153" t="str">
        <f>'קטגוריה א - ציוד לחדרי קבוצות'!B7</f>
        <v>מבקש  הציוד  מתבקש למלא  רק  את  התאים  הממורקרים בתכלת.</v>
      </c>
      <c r="G7" s="152"/>
    </row>
    <row r="8" spans="1:17" x14ac:dyDescent="0.25">
      <c r="B8" s="154" t="str">
        <f>'קטגוריה א - ציוד לחדרי קבוצות'!B8</f>
        <v xml:space="preserve">כל  המחירים והעלויות להלן  נקובים  בש"ח  וכוללים  מע"מ  </v>
      </c>
    </row>
    <row r="9" spans="1:17" x14ac:dyDescent="0.25">
      <c r="B9" s="154"/>
    </row>
    <row r="10" spans="1:17" s="39" customFormat="1" ht="15.6" x14ac:dyDescent="0.3">
      <c r="A10" s="157">
        <v>4.2</v>
      </c>
      <c r="B10" s="147" t="s">
        <v>160</v>
      </c>
      <c r="C10" s="147"/>
      <c r="D10" s="195"/>
      <c r="E10" s="195"/>
      <c r="F10" s="195"/>
      <c r="G10" s="195"/>
      <c r="I10" s="195"/>
      <c r="J10" s="195"/>
      <c r="K10" s="195"/>
      <c r="L10" s="195"/>
      <c r="M10" s="195"/>
      <c r="N10" s="195"/>
      <c r="O10" s="196"/>
      <c r="Q10" s="28"/>
    </row>
    <row r="11" spans="1:17" x14ac:dyDescent="0.25">
      <c r="A11" s="76" t="s">
        <v>138</v>
      </c>
      <c r="B11" s="26" t="s">
        <v>146</v>
      </c>
      <c r="C11" s="1"/>
      <c r="D11" s="1"/>
      <c r="E11" s="2"/>
      <c r="F11" s="3" t="s">
        <v>147</v>
      </c>
      <c r="G11" s="1"/>
      <c r="H11" s="1"/>
      <c r="I11" s="2"/>
      <c r="J11" s="162" t="s">
        <v>204</v>
      </c>
      <c r="K11" s="3" t="s">
        <v>170</v>
      </c>
      <c r="L11" s="1"/>
      <c r="M11" s="163"/>
      <c r="N11" s="1"/>
      <c r="O11" s="164"/>
      <c r="P11" s="1"/>
      <c r="Q11" s="2"/>
    </row>
    <row r="12" spans="1:17" ht="41.4" x14ac:dyDescent="0.25">
      <c r="A12" s="25" t="s">
        <v>9</v>
      </c>
      <c r="B12" s="4" t="s">
        <v>98</v>
      </c>
      <c r="C12" s="4" t="s">
        <v>103</v>
      </c>
      <c r="D12" s="4" t="s">
        <v>99</v>
      </c>
      <c r="E12" s="4" t="s">
        <v>133</v>
      </c>
      <c r="F12" s="4" t="s">
        <v>136</v>
      </c>
      <c r="G12" s="4" t="s">
        <v>100</v>
      </c>
      <c r="H12" s="4" t="s">
        <v>161</v>
      </c>
      <c r="I12" s="4" t="s">
        <v>162</v>
      </c>
      <c r="J12" s="162" t="s">
        <v>164</v>
      </c>
      <c r="K12" s="162" t="s">
        <v>89</v>
      </c>
      <c r="L12" s="162" t="s">
        <v>90</v>
      </c>
      <c r="M12" s="162" t="s">
        <v>91</v>
      </c>
      <c r="N12" s="162" t="s">
        <v>95</v>
      </c>
      <c r="O12" s="197" t="s">
        <v>92</v>
      </c>
      <c r="P12" s="162" t="s">
        <v>93</v>
      </c>
      <c r="Q12" s="162" t="s">
        <v>13</v>
      </c>
    </row>
    <row r="13" spans="1:17" ht="27.6" x14ac:dyDescent="0.25">
      <c r="A13" s="5">
        <v>1</v>
      </c>
      <c r="B13" s="4" t="s">
        <v>252</v>
      </c>
      <c r="C13" s="6">
        <f>IF('שאלון למילוי מגיש הבקשה - חובה'!$G$33&lt;31,1,IF('שאלון למילוי מגיש הבקשה - חובה'!$G$33&lt;61,2,3))</f>
        <v>1</v>
      </c>
      <c r="D13" s="7">
        <v>30000</v>
      </c>
      <c r="E13" s="7">
        <f>C13*D13</f>
        <v>30000</v>
      </c>
      <c r="F13" s="8"/>
      <c r="G13" s="167">
        <f t="shared" ref="G13:G14" si="0">D13*F13</f>
        <v>0</v>
      </c>
      <c r="H13" s="168" t="str">
        <f>IF(F13&gt;C13,"נא להסביר חריגה","")</f>
        <v/>
      </c>
      <c r="I13" s="9"/>
      <c r="J13" s="35"/>
      <c r="K13" s="22"/>
      <c r="L13" s="22"/>
      <c r="M13" s="48"/>
      <c r="N13" s="23"/>
      <c r="O13" s="169">
        <f>IF(N13="",0,N13-G13)</f>
        <v>0</v>
      </c>
      <c r="P13" s="170">
        <f>IF(G13=0,0,O13/G13)</f>
        <v>0</v>
      </c>
      <c r="Q13" s="223"/>
    </row>
    <row r="14" spans="1:17" ht="27.6" x14ac:dyDescent="0.25">
      <c r="A14" s="5">
        <v>2</v>
      </c>
      <c r="B14" s="4" t="s">
        <v>253</v>
      </c>
      <c r="C14" s="6">
        <f>IF('שאלון למילוי מגיש הבקשה - חובה'!$G$33&lt;31,1,IF('שאלון למילוי מגיש הבקשה - חובה'!$G$33&lt;61,2,3))</f>
        <v>1</v>
      </c>
      <c r="D14" s="7">
        <v>18000</v>
      </c>
      <c r="E14" s="7">
        <f>C14*D14</f>
        <v>18000</v>
      </c>
      <c r="F14" s="8"/>
      <c r="G14" s="167">
        <f t="shared" si="0"/>
        <v>0</v>
      </c>
      <c r="H14" s="168" t="str">
        <f>IF(F14&gt;C14,"נא להסביר חריגה","")</f>
        <v/>
      </c>
      <c r="I14" s="9"/>
      <c r="J14" s="35"/>
      <c r="K14" s="22"/>
      <c r="L14" s="22"/>
      <c r="M14" s="48"/>
      <c r="N14" s="23"/>
      <c r="O14" s="169">
        <f>IF(N14="",0,N14-G14)</f>
        <v>0</v>
      </c>
      <c r="P14" s="170">
        <f>IF(G14=0,0,O14/G14)</f>
        <v>0</v>
      </c>
      <c r="Q14" s="223"/>
    </row>
    <row r="15" spans="1:17" x14ac:dyDescent="0.25">
      <c r="A15" s="5"/>
      <c r="B15" s="24" t="s">
        <v>12</v>
      </c>
      <c r="C15" s="7"/>
      <c r="D15" s="7"/>
      <c r="E15" s="7">
        <f>SUM(E13:E14)</f>
        <v>48000</v>
      </c>
      <c r="F15" s="167"/>
      <c r="G15" s="7">
        <f>SUM(G13:G14)</f>
        <v>0</v>
      </c>
      <c r="H15" s="167"/>
      <c r="I15" s="167"/>
      <c r="J15" s="7">
        <f>SUM(J13:J14)</f>
        <v>0</v>
      </c>
      <c r="K15" s="167"/>
      <c r="L15" s="10"/>
      <c r="M15" s="11"/>
      <c r="N15" s="7">
        <f>SUM(N13:N14)</f>
        <v>0</v>
      </c>
      <c r="O15" s="169">
        <f>SUM(O13:O14)</f>
        <v>0</v>
      </c>
      <c r="P15" s="170">
        <f>IF(G15=0,0,O15/G15)</f>
        <v>0</v>
      </c>
      <c r="Q15" s="96"/>
    </row>
    <row r="16" spans="1:17" x14ac:dyDescent="0.25">
      <c r="A16" s="13" t="s">
        <v>29</v>
      </c>
      <c r="B16" s="79" t="s">
        <v>283</v>
      </c>
      <c r="C16" s="15"/>
      <c r="D16" s="15"/>
      <c r="E16" s="15"/>
      <c r="F16" s="172"/>
      <c r="G16" s="15"/>
      <c r="H16" s="172"/>
      <c r="I16" s="172"/>
      <c r="J16" s="15"/>
      <c r="K16" s="172"/>
      <c r="L16" s="16"/>
      <c r="M16" s="173"/>
      <c r="N16" s="15"/>
      <c r="O16" s="175"/>
      <c r="P16" s="176"/>
      <c r="Q16" s="174"/>
    </row>
    <row r="17" spans="1:17" x14ac:dyDescent="0.25">
      <c r="A17" s="13"/>
      <c r="B17" s="79" t="s">
        <v>281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</row>
    <row r="18" spans="1:17" x14ac:dyDescent="0.25">
      <c r="A18" s="13"/>
      <c r="B18" s="79" t="s">
        <v>282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7" x14ac:dyDescent="0.25">
      <c r="A19" s="13"/>
      <c r="B19" s="79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  <row r="20" spans="1:17" x14ac:dyDescent="0.25">
      <c r="A20" s="76" t="s">
        <v>22</v>
      </c>
      <c r="B20" s="26" t="s">
        <v>105</v>
      </c>
      <c r="C20" s="93"/>
      <c r="D20" s="93"/>
      <c r="E20" s="2"/>
      <c r="F20" s="3" t="s">
        <v>106</v>
      </c>
      <c r="G20" s="1"/>
      <c r="H20" s="1"/>
      <c r="I20" s="2"/>
      <c r="J20" s="162" t="s">
        <v>204</v>
      </c>
      <c r="K20" s="3" t="s">
        <v>171</v>
      </c>
      <c r="L20" s="1"/>
      <c r="M20" s="163"/>
      <c r="N20" s="1"/>
      <c r="O20" s="164"/>
      <c r="P20" s="1"/>
      <c r="Q20" s="2"/>
    </row>
    <row r="21" spans="1:17" ht="41.4" x14ac:dyDescent="0.25">
      <c r="A21" s="25" t="s">
        <v>9</v>
      </c>
      <c r="B21" s="4" t="s">
        <v>98</v>
      </c>
      <c r="C21" s="4" t="s">
        <v>103</v>
      </c>
      <c r="D21" s="4" t="s">
        <v>99</v>
      </c>
      <c r="E21" s="4" t="s">
        <v>133</v>
      </c>
      <c r="F21" s="4" t="s">
        <v>136</v>
      </c>
      <c r="G21" s="4" t="s">
        <v>100</v>
      </c>
      <c r="H21" s="4" t="s">
        <v>161</v>
      </c>
      <c r="I21" s="4" t="s">
        <v>162</v>
      </c>
      <c r="J21" s="162" t="s">
        <v>164</v>
      </c>
      <c r="K21" s="162" t="s">
        <v>89</v>
      </c>
      <c r="L21" s="162" t="s">
        <v>90</v>
      </c>
      <c r="M21" s="162" t="s">
        <v>91</v>
      </c>
      <c r="N21" s="162" t="s">
        <v>95</v>
      </c>
      <c r="O21" s="197" t="s">
        <v>92</v>
      </c>
      <c r="P21" s="162" t="s">
        <v>93</v>
      </c>
      <c r="Q21" s="162" t="s">
        <v>13</v>
      </c>
    </row>
    <row r="22" spans="1:17" x14ac:dyDescent="0.25">
      <c r="A22" s="5">
        <v>1</v>
      </c>
      <c r="B22" s="4" t="s">
        <v>254</v>
      </c>
      <c r="C22" s="6">
        <f>IF('שאלון למילוי מגיש הבקשה - חובה'!$G$33&lt;31,1,IF('שאלון למילוי מגיש הבקשה - חובה'!$G$33&lt;61,2,3))</f>
        <v>1</v>
      </c>
      <c r="D22" s="7">
        <v>10000</v>
      </c>
      <c r="E22" s="7">
        <f t="shared" ref="E22:E24" si="1">C22*D22</f>
        <v>10000</v>
      </c>
      <c r="F22" s="8"/>
      <c r="G22" s="167">
        <f t="shared" ref="G22:G24" si="2">D22*F22</f>
        <v>0</v>
      </c>
      <c r="H22" s="168" t="str">
        <f>IF(F22&gt;C22,"נא להסביר חריגה","")</f>
        <v/>
      </c>
      <c r="I22" s="9"/>
      <c r="J22" s="35"/>
      <c r="K22" s="22"/>
      <c r="L22" s="22"/>
      <c r="M22" s="48"/>
      <c r="N22" s="23"/>
      <c r="O22" s="169">
        <f>IF(N22="",0,N22-G22)</f>
        <v>0</v>
      </c>
      <c r="P22" s="170">
        <f t="shared" ref="P22:P25" si="3">IF(G22=0,0,O22/G22)</f>
        <v>0</v>
      </c>
      <c r="Q22" s="223"/>
    </row>
    <row r="23" spans="1:17" ht="14.4" x14ac:dyDescent="0.3">
      <c r="A23" s="5">
        <v>2</v>
      </c>
      <c r="B23" s="4" t="s">
        <v>319</v>
      </c>
      <c r="C23" s="101">
        <f>'שאלון למילוי מגיש הבקשה - חובה'!$G$35</f>
        <v>0</v>
      </c>
      <c r="D23" s="7">
        <v>1000</v>
      </c>
      <c r="E23" s="7">
        <f t="shared" si="1"/>
        <v>0</v>
      </c>
      <c r="F23" s="8"/>
      <c r="G23" s="167">
        <f t="shared" si="2"/>
        <v>0</v>
      </c>
      <c r="H23" s="168" t="str">
        <f>IF(F23&gt;C23,"נא להסביר חריגה","")</f>
        <v/>
      </c>
      <c r="I23" s="9"/>
      <c r="J23" s="35"/>
      <c r="K23" s="22"/>
      <c r="L23" s="22"/>
      <c r="M23" s="48"/>
      <c r="N23" s="23"/>
      <c r="O23" s="169">
        <f>IF(N23="",0,N23-G23)</f>
        <v>0</v>
      </c>
      <c r="P23" s="170">
        <f t="shared" si="3"/>
        <v>0</v>
      </c>
      <c r="Q23" s="223"/>
    </row>
    <row r="24" spans="1:17" x14ac:dyDescent="0.25">
      <c r="A24" s="5">
        <v>3</v>
      </c>
      <c r="B24" s="24" t="s">
        <v>300</v>
      </c>
      <c r="C24" s="7">
        <v>1</v>
      </c>
      <c r="D24" s="6">
        <f>IF('שאלון למילוי מגיש הבקשה - חובה'!$G$33&lt;31,12000,IF('שאלון למילוי מגיש הבקשה - חובה'!$G$33&lt;61,15000,20000))</f>
        <v>12000</v>
      </c>
      <c r="E24" s="7">
        <f t="shared" si="1"/>
        <v>12000</v>
      </c>
      <c r="F24" s="8"/>
      <c r="G24" s="167">
        <f t="shared" si="2"/>
        <v>0</v>
      </c>
      <c r="H24" s="168" t="str">
        <f>IF(F24&gt;C24,"נא להסביר חריגה","")</f>
        <v/>
      </c>
      <c r="I24" s="9"/>
      <c r="J24" s="35"/>
      <c r="K24" s="22"/>
      <c r="L24" s="22"/>
      <c r="M24" s="48"/>
      <c r="N24" s="23"/>
      <c r="O24" s="169">
        <f>IF(N24="",0,N24-G24)</f>
        <v>0</v>
      </c>
      <c r="P24" s="170">
        <f t="shared" si="3"/>
        <v>0</v>
      </c>
      <c r="Q24" s="223"/>
    </row>
    <row r="25" spans="1:17" x14ac:dyDescent="0.25">
      <c r="A25" s="5"/>
      <c r="B25" s="24" t="s">
        <v>27</v>
      </c>
      <c r="C25" s="7"/>
      <c r="D25" s="7"/>
      <c r="E25" s="7">
        <f>SUM(E22:E24)</f>
        <v>22000</v>
      </c>
      <c r="F25" s="167"/>
      <c r="G25" s="167">
        <f>SUM(G22:G24)</f>
        <v>0</v>
      </c>
      <c r="H25" s="167"/>
      <c r="I25" s="167"/>
      <c r="J25" s="167">
        <f>SUM(J22:J24)</f>
        <v>0</v>
      </c>
      <c r="K25" s="167"/>
      <c r="L25" s="10"/>
      <c r="M25" s="11"/>
      <c r="N25" s="167">
        <f>SUM(N22:N24)</f>
        <v>0</v>
      </c>
      <c r="O25" s="169">
        <f t="shared" ref="O25" si="4">SUM(O22:O24)</f>
        <v>0</v>
      </c>
      <c r="P25" s="170">
        <f t="shared" si="3"/>
        <v>0</v>
      </c>
      <c r="Q25" s="96"/>
    </row>
    <row r="26" spans="1:17" x14ac:dyDescent="0.25">
      <c r="A26" s="13"/>
      <c r="B26" s="14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99"/>
    </row>
    <row r="27" spans="1:17" x14ac:dyDescent="0.25">
      <c r="A27" s="76" t="s">
        <v>23</v>
      </c>
      <c r="B27" s="26" t="s">
        <v>148</v>
      </c>
      <c r="C27" s="93"/>
      <c r="D27" s="93"/>
      <c r="E27" s="2"/>
      <c r="F27" s="3" t="s">
        <v>149</v>
      </c>
      <c r="G27" s="1"/>
      <c r="H27" s="1"/>
      <c r="I27" s="2"/>
      <c r="J27" s="162" t="s">
        <v>204</v>
      </c>
      <c r="K27" s="3" t="s">
        <v>172</v>
      </c>
      <c r="L27" s="1"/>
      <c r="M27" s="163"/>
      <c r="N27" s="1"/>
      <c r="O27" s="164"/>
      <c r="P27" s="1"/>
      <c r="Q27" s="2"/>
    </row>
    <row r="28" spans="1:17" ht="41.4" x14ac:dyDescent="0.25">
      <c r="A28" s="25" t="s">
        <v>9</v>
      </c>
      <c r="B28" s="4" t="s">
        <v>98</v>
      </c>
      <c r="C28" s="4" t="s">
        <v>103</v>
      </c>
      <c r="D28" s="4" t="s">
        <v>99</v>
      </c>
      <c r="E28" s="4" t="s">
        <v>133</v>
      </c>
      <c r="F28" s="4" t="s">
        <v>136</v>
      </c>
      <c r="G28" s="4" t="s">
        <v>100</v>
      </c>
      <c r="H28" s="4" t="s">
        <v>161</v>
      </c>
      <c r="I28" s="4" t="s">
        <v>162</v>
      </c>
      <c r="J28" s="162" t="s">
        <v>164</v>
      </c>
      <c r="K28" s="162" t="s">
        <v>89</v>
      </c>
      <c r="L28" s="162" t="s">
        <v>90</v>
      </c>
      <c r="M28" s="162" t="s">
        <v>91</v>
      </c>
      <c r="N28" s="162" t="s">
        <v>95</v>
      </c>
      <c r="O28" s="197" t="s">
        <v>92</v>
      </c>
      <c r="P28" s="162" t="s">
        <v>93</v>
      </c>
      <c r="Q28" s="162" t="s">
        <v>13</v>
      </c>
    </row>
    <row r="29" spans="1:17" x14ac:dyDescent="0.25">
      <c r="A29" s="5">
        <v>1</v>
      </c>
      <c r="B29" s="30" t="s">
        <v>260</v>
      </c>
      <c r="C29" s="7">
        <v>1</v>
      </c>
      <c r="D29" s="6">
        <f>IF('שאלון למילוי מגיש הבקשה - חובה'!$G$33&lt;31,20000,IF('שאלון למילוי מגיש הבקשה - חובה'!$G$33&lt;61,30000,50000))</f>
        <v>20000</v>
      </c>
      <c r="E29" s="7">
        <f t="shared" ref="E29" si="5">C29*D29</f>
        <v>20000</v>
      </c>
      <c r="F29" s="8"/>
      <c r="G29" s="167">
        <f>D29*F29</f>
        <v>0</v>
      </c>
      <c r="H29" s="168" t="str">
        <f>IF(F29&gt;C29,"נא להסביר חריגה","")</f>
        <v/>
      </c>
      <c r="I29" s="9"/>
      <c r="J29" s="35"/>
      <c r="K29" s="22"/>
      <c r="L29" s="22"/>
      <c r="M29" s="48"/>
      <c r="N29" s="23"/>
      <c r="O29" s="169">
        <f>IF(N29="",0,N29-G29)</f>
        <v>0</v>
      </c>
      <c r="P29" s="170">
        <f t="shared" ref="P29" si="6">IF(G29=0,0,O29/G29)</f>
        <v>0</v>
      </c>
      <c r="Q29" s="223"/>
    </row>
    <row r="30" spans="1:17" x14ac:dyDescent="0.25">
      <c r="A30" s="13"/>
      <c r="B30" s="14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</row>
    <row r="31" spans="1:17" x14ac:dyDescent="0.25">
      <c r="A31" s="76" t="s">
        <v>24</v>
      </c>
      <c r="B31" s="26" t="s">
        <v>150</v>
      </c>
      <c r="C31" s="93"/>
      <c r="D31" s="93"/>
      <c r="E31" s="2"/>
      <c r="F31" s="3" t="s">
        <v>151</v>
      </c>
      <c r="G31" s="1"/>
      <c r="H31" s="1"/>
      <c r="I31" s="2"/>
      <c r="J31" s="162" t="s">
        <v>163</v>
      </c>
      <c r="K31" s="3" t="s">
        <v>173</v>
      </c>
      <c r="L31" s="1"/>
      <c r="M31" s="163"/>
      <c r="N31" s="1"/>
      <c r="O31" s="164"/>
      <c r="P31" s="1"/>
      <c r="Q31" s="2"/>
    </row>
    <row r="32" spans="1:17" ht="41.4" x14ac:dyDescent="0.25">
      <c r="A32" s="25" t="s">
        <v>9</v>
      </c>
      <c r="B32" s="4" t="s">
        <v>98</v>
      </c>
      <c r="C32" s="4" t="s">
        <v>103</v>
      </c>
      <c r="D32" s="4" t="s">
        <v>99</v>
      </c>
      <c r="E32" s="4" t="s">
        <v>133</v>
      </c>
      <c r="F32" s="4" t="s">
        <v>136</v>
      </c>
      <c r="G32" s="4" t="s">
        <v>100</v>
      </c>
      <c r="H32" s="4" t="s">
        <v>161</v>
      </c>
      <c r="I32" s="4" t="s">
        <v>162</v>
      </c>
      <c r="J32" s="162" t="s">
        <v>164</v>
      </c>
      <c r="K32" s="162" t="s">
        <v>89</v>
      </c>
      <c r="L32" s="162" t="s">
        <v>90</v>
      </c>
      <c r="M32" s="162" t="s">
        <v>91</v>
      </c>
      <c r="N32" s="162" t="s">
        <v>95</v>
      </c>
      <c r="O32" s="197" t="s">
        <v>92</v>
      </c>
      <c r="P32" s="162" t="s">
        <v>93</v>
      </c>
      <c r="Q32" s="162" t="s">
        <v>13</v>
      </c>
    </row>
    <row r="33" spans="1:17" x14ac:dyDescent="0.25">
      <c r="A33" s="5">
        <v>1</v>
      </c>
      <c r="B33" s="4" t="s">
        <v>6</v>
      </c>
      <c r="C33" s="7">
        <v>1</v>
      </c>
      <c r="D33" s="7">
        <v>8000</v>
      </c>
      <c r="E33" s="7">
        <f t="shared" ref="E33:E35" si="7">C33*D33</f>
        <v>8000</v>
      </c>
      <c r="F33" s="8"/>
      <c r="G33" s="167">
        <f t="shared" ref="G33:G35" si="8">D33*F33</f>
        <v>0</v>
      </c>
      <c r="H33" s="168" t="str">
        <f>IF(F33&gt;C33,"נא להסביר חריגה","")</f>
        <v/>
      </c>
      <c r="I33" s="9"/>
      <c r="J33" s="35"/>
      <c r="K33" s="22"/>
      <c r="L33" s="22"/>
      <c r="M33" s="48"/>
      <c r="N33" s="23"/>
      <c r="O33" s="169">
        <f>IF(N33="",0,N33-G33)</f>
        <v>0</v>
      </c>
      <c r="P33" s="170">
        <f t="shared" ref="P33:P36" si="9">IF(G33=0,0,O33/G33)</f>
        <v>0</v>
      </c>
      <c r="Q33" s="223"/>
    </row>
    <row r="34" spans="1:17" x14ac:dyDescent="0.25">
      <c r="A34" s="5">
        <v>2</v>
      </c>
      <c r="B34" s="30" t="s">
        <v>255</v>
      </c>
      <c r="C34" s="6">
        <f>IF('שאלון למילוי מגיש הבקשה - חובה'!$G$33&lt;31,1,IF('שאלון למילוי מגיש הבקשה - חובה'!$G$33&lt;61,2,3))</f>
        <v>1</v>
      </c>
      <c r="D34" s="7">
        <v>5000</v>
      </c>
      <c r="E34" s="7">
        <f t="shared" si="7"/>
        <v>5000</v>
      </c>
      <c r="F34" s="8"/>
      <c r="G34" s="167">
        <f t="shared" si="8"/>
        <v>0</v>
      </c>
      <c r="H34" s="168" t="str">
        <f>IF(F34&gt;C34,"נא להסביר חריגה","")</f>
        <v/>
      </c>
      <c r="I34" s="9"/>
      <c r="J34" s="35"/>
      <c r="K34" s="22"/>
      <c r="L34" s="22"/>
      <c r="M34" s="48"/>
      <c r="N34" s="23"/>
      <c r="O34" s="169">
        <f>IF(N34="",0,N34-G34)</f>
        <v>0</v>
      </c>
      <c r="P34" s="170">
        <f t="shared" si="9"/>
        <v>0</v>
      </c>
      <c r="Q34" s="223"/>
    </row>
    <row r="35" spans="1:17" x14ac:dyDescent="0.25">
      <c r="A35" s="5">
        <v>3</v>
      </c>
      <c r="B35" s="4" t="s">
        <v>259</v>
      </c>
      <c r="C35" s="7">
        <v>1</v>
      </c>
      <c r="D35" s="6">
        <f>IF('שאלון למילוי מגיש הבקשה - חובה'!$G$33&lt;31,7000,IF('שאלון למילוי מגיש הבקשה - חובה'!$G$33&lt;61,10000,15000))</f>
        <v>7000</v>
      </c>
      <c r="E35" s="7">
        <f t="shared" si="7"/>
        <v>7000</v>
      </c>
      <c r="F35" s="8"/>
      <c r="G35" s="167">
        <f t="shared" si="8"/>
        <v>0</v>
      </c>
      <c r="H35" s="168" t="str">
        <f>IF(F35&gt;C35,"נא להסביר חריגה","")</f>
        <v/>
      </c>
      <c r="I35" s="9"/>
      <c r="J35" s="35"/>
      <c r="K35" s="22"/>
      <c r="L35" s="22"/>
      <c r="M35" s="48"/>
      <c r="N35" s="23"/>
      <c r="O35" s="169">
        <f>IF(N35="",0,N35-G35)</f>
        <v>0</v>
      </c>
      <c r="P35" s="170">
        <f t="shared" si="9"/>
        <v>0</v>
      </c>
      <c r="Q35" s="223"/>
    </row>
    <row r="36" spans="1:17" x14ac:dyDescent="0.25">
      <c r="A36" s="5"/>
      <c r="B36" s="24" t="s">
        <v>17</v>
      </c>
      <c r="C36" s="7"/>
      <c r="D36" s="7"/>
      <c r="E36" s="7">
        <f>SUM(E33:E35)</f>
        <v>20000</v>
      </c>
      <c r="F36" s="167"/>
      <c r="G36" s="167">
        <f>SUM(G33:G35)</f>
        <v>0</v>
      </c>
      <c r="H36" s="167"/>
      <c r="I36" s="167"/>
      <c r="J36" s="167">
        <f>SUM(J33:J35)</f>
        <v>0</v>
      </c>
      <c r="K36" s="167"/>
      <c r="L36" s="10"/>
      <c r="M36" s="11"/>
      <c r="N36" s="7">
        <f t="shared" ref="N36:O36" si="10">SUM(N33:N35)</f>
        <v>0</v>
      </c>
      <c r="O36" s="169">
        <f t="shared" si="10"/>
        <v>0</v>
      </c>
      <c r="P36" s="170">
        <f t="shared" si="9"/>
        <v>0</v>
      </c>
      <c r="Q36" s="96"/>
    </row>
    <row r="37" spans="1:17" x14ac:dyDescent="0.25">
      <c r="A37" s="13"/>
      <c r="B37" s="14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</row>
    <row r="38" spans="1:17" x14ac:dyDescent="0.25">
      <c r="A38" s="76" t="s">
        <v>25</v>
      </c>
      <c r="B38" s="26" t="s">
        <v>152</v>
      </c>
      <c r="C38" s="93"/>
      <c r="D38" s="93"/>
      <c r="E38" s="2"/>
      <c r="F38" s="3" t="s">
        <v>107</v>
      </c>
      <c r="G38" s="1"/>
      <c r="H38" s="1"/>
      <c r="I38" s="2"/>
      <c r="J38" s="162" t="s">
        <v>204</v>
      </c>
      <c r="K38" s="3" t="s">
        <v>174</v>
      </c>
      <c r="L38" s="1"/>
      <c r="M38" s="163"/>
      <c r="N38" s="1"/>
      <c r="O38" s="164"/>
      <c r="P38" s="1"/>
      <c r="Q38" s="2"/>
    </row>
    <row r="39" spans="1:17" ht="41.4" x14ac:dyDescent="0.25">
      <c r="A39" s="25" t="s">
        <v>9</v>
      </c>
      <c r="B39" s="4" t="s">
        <v>98</v>
      </c>
      <c r="C39" s="4" t="s">
        <v>103</v>
      </c>
      <c r="D39" s="4" t="s">
        <v>99</v>
      </c>
      <c r="E39" s="4" t="s">
        <v>133</v>
      </c>
      <c r="F39" s="4" t="s">
        <v>136</v>
      </c>
      <c r="G39" s="4" t="s">
        <v>100</v>
      </c>
      <c r="H39" s="4" t="s">
        <v>161</v>
      </c>
      <c r="I39" s="4" t="s">
        <v>162</v>
      </c>
      <c r="J39" s="162" t="s">
        <v>164</v>
      </c>
      <c r="K39" s="162" t="s">
        <v>89</v>
      </c>
      <c r="L39" s="162" t="s">
        <v>90</v>
      </c>
      <c r="M39" s="162" t="s">
        <v>91</v>
      </c>
      <c r="N39" s="162" t="s">
        <v>95</v>
      </c>
      <c r="O39" s="197" t="s">
        <v>92</v>
      </c>
      <c r="P39" s="162" t="s">
        <v>93</v>
      </c>
      <c r="Q39" s="162" t="s">
        <v>13</v>
      </c>
    </row>
    <row r="40" spans="1:17" x14ac:dyDescent="0.25">
      <c r="A40" s="5">
        <v>1</v>
      </c>
      <c r="B40" s="30" t="s">
        <v>284</v>
      </c>
      <c r="C40" s="7">
        <v>1</v>
      </c>
      <c r="D40" s="6">
        <f>IF('שאלון למילוי מגיש הבקשה - חובה'!$G$33&lt;31,15000,25000)</f>
        <v>15000</v>
      </c>
      <c r="E40" s="7">
        <f t="shared" ref="E40:E46" si="11">C40*D40</f>
        <v>15000</v>
      </c>
      <c r="F40" s="8"/>
      <c r="G40" s="167">
        <f t="shared" ref="G40:G46" si="12">D40*F40</f>
        <v>0</v>
      </c>
      <c r="H40" s="168" t="str">
        <f t="shared" ref="H40:H46" si="13">IF(F40&gt;C40,"נא להסביר חריגה","")</f>
        <v/>
      </c>
      <c r="I40" s="9"/>
      <c r="J40" s="35"/>
      <c r="K40" s="22"/>
      <c r="L40" s="22"/>
      <c r="M40" s="48"/>
      <c r="N40" s="23"/>
      <c r="O40" s="169">
        <f t="shared" ref="O40:O46" si="14">IF(N40="",0,N40-G40)</f>
        <v>0</v>
      </c>
      <c r="P40" s="170">
        <f t="shared" ref="P40:P47" si="15">IF(G40=0,0,O40/G40)</f>
        <v>0</v>
      </c>
      <c r="Q40" s="223"/>
    </row>
    <row r="41" spans="1:17" x14ac:dyDescent="0.25">
      <c r="A41" s="5">
        <v>2</v>
      </c>
      <c r="B41" s="4" t="s">
        <v>14</v>
      </c>
      <c r="C41" s="7">
        <v>1</v>
      </c>
      <c r="D41" s="7">
        <v>4000</v>
      </c>
      <c r="E41" s="7">
        <f t="shared" si="11"/>
        <v>4000</v>
      </c>
      <c r="F41" s="8"/>
      <c r="G41" s="167">
        <f t="shared" si="12"/>
        <v>0</v>
      </c>
      <c r="H41" s="168" t="str">
        <f t="shared" si="13"/>
        <v/>
      </c>
      <c r="I41" s="9"/>
      <c r="J41" s="35"/>
      <c r="K41" s="22"/>
      <c r="L41" s="22"/>
      <c r="M41" s="48"/>
      <c r="N41" s="23"/>
      <c r="O41" s="169">
        <f t="shared" si="14"/>
        <v>0</v>
      </c>
      <c r="P41" s="170">
        <f t="shared" si="15"/>
        <v>0</v>
      </c>
      <c r="Q41" s="223"/>
    </row>
    <row r="42" spans="1:17" x14ac:dyDescent="0.25">
      <c r="A42" s="5">
        <v>3</v>
      </c>
      <c r="B42" s="4" t="s">
        <v>4</v>
      </c>
      <c r="C42" s="7">
        <v>1</v>
      </c>
      <c r="D42" s="7">
        <v>4500</v>
      </c>
      <c r="E42" s="7">
        <f t="shared" si="11"/>
        <v>4500</v>
      </c>
      <c r="F42" s="8"/>
      <c r="G42" s="167">
        <f t="shared" si="12"/>
        <v>0</v>
      </c>
      <c r="H42" s="168" t="str">
        <f t="shared" si="13"/>
        <v/>
      </c>
      <c r="I42" s="9"/>
      <c r="J42" s="35"/>
      <c r="K42" s="22"/>
      <c r="L42" s="22"/>
      <c r="M42" s="48"/>
      <c r="N42" s="23"/>
      <c r="O42" s="169">
        <f t="shared" si="14"/>
        <v>0</v>
      </c>
      <c r="P42" s="170">
        <f t="shared" si="15"/>
        <v>0</v>
      </c>
      <c r="Q42" s="223"/>
    </row>
    <row r="43" spans="1:17" x14ac:dyDescent="0.25">
      <c r="A43" s="5">
        <v>4</v>
      </c>
      <c r="B43" s="4" t="s">
        <v>5</v>
      </c>
      <c r="C43" s="7">
        <v>1</v>
      </c>
      <c r="D43" s="7">
        <v>3000</v>
      </c>
      <c r="E43" s="7">
        <f t="shared" si="11"/>
        <v>3000</v>
      </c>
      <c r="F43" s="8"/>
      <c r="G43" s="167">
        <f t="shared" si="12"/>
        <v>0</v>
      </c>
      <c r="H43" s="168" t="str">
        <f t="shared" si="13"/>
        <v/>
      </c>
      <c r="I43" s="9"/>
      <c r="J43" s="35"/>
      <c r="K43" s="22"/>
      <c r="L43" s="22"/>
      <c r="M43" s="48"/>
      <c r="N43" s="23"/>
      <c r="O43" s="169">
        <f t="shared" si="14"/>
        <v>0</v>
      </c>
      <c r="P43" s="170">
        <f t="shared" si="15"/>
        <v>0</v>
      </c>
      <c r="Q43" s="223"/>
    </row>
    <row r="44" spans="1:17" x14ac:dyDescent="0.25">
      <c r="A44" s="5">
        <v>5</v>
      </c>
      <c r="B44" s="4" t="s">
        <v>3</v>
      </c>
      <c r="C44" s="7">
        <v>1</v>
      </c>
      <c r="D44" s="7">
        <v>1500</v>
      </c>
      <c r="E44" s="7">
        <f t="shared" si="11"/>
        <v>1500</v>
      </c>
      <c r="F44" s="8"/>
      <c r="G44" s="167">
        <f t="shared" si="12"/>
        <v>0</v>
      </c>
      <c r="H44" s="168" t="str">
        <f t="shared" si="13"/>
        <v/>
      </c>
      <c r="I44" s="9"/>
      <c r="J44" s="35"/>
      <c r="K44" s="22"/>
      <c r="L44" s="22"/>
      <c r="M44" s="48"/>
      <c r="N44" s="23"/>
      <c r="O44" s="169">
        <f t="shared" si="14"/>
        <v>0</v>
      </c>
      <c r="P44" s="170">
        <f t="shared" si="15"/>
        <v>0</v>
      </c>
      <c r="Q44" s="223"/>
    </row>
    <row r="45" spans="1:17" x14ac:dyDescent="0.25">
      <c r="A45" s="5">
        <v>6</v>
      </c>
      <c r="B45" s="4" t="s">
        <v>256</v>
      </c>
      <c r="C45" s="7">
        <v>1</v>
      </c>
      <c r="D45" s="6">
        <f>IF('שאלון למילוי מגיש הבקשה - חובה'!$G$33&lt;31,800,1600)</f>
        <v>800</v>
      </c>
      <c r="E45" s="7">
        <f t="shared" si="11"/>
        <v>800</v>
      </c>
      <c r="F45" s="8"/>
      <c r="G45" s="167">
        <f t="shared" si="12"/>
        <v>0</v>
      </c>
      <c r="H45" s="168" t="str">
        <f t="shared" si="13"/>
        <v/>
      </c>
      <c r="I45" s="9"/>
      <c r="J45" s="35"/>
      <c r="K45" s="22"/>
      <c r="L45" s="22"/>
      <c r="M45" s="48"/>
      <c r="N45" s="23"/>
      <c r="O45" s="169">
        <f t="shared" si="14"/>
        <v>0</v>
      </c>
      <c r="P45" s="170">
        <f t="shared" si="15"/>
        <v>0</v>
      </c>
      <c r="Q45" s="223"/>
    </row>
    <row r="46" spans="1:17" x14ac:dyDescent="0.25">
      <c r="A46" s="5">
        <v>7</v>
      </c>
      <c r="B46" s="4" t="s">
        <v>261</v>
      </c>
      <c r="C46" s="7">
        <v>1</v>
      </c>
      <c r="D46" s="6">
        <f>IF('שאלון למילוי מגיש הבקשה - חובה'!$G$33&lt;31,2000,4000)</f>
        <v>2000</v>
      </c>
      <c r="E46" s="7">
        <f t="shared" si="11"/>
        <v>2000</v>
      </c>
      <c r="F46" s="8"/>
      <c r="G46" s="167">
        <f t="shared" si="12"/>
        <v>0</v>
      </c>
      <c r="H46" s="168" t="str">
        <f t="shared" si="13"/>
        <v/>
      </c>
      <c r="I46" s="9"/>
      <c r="J46" s="35"/>
      <c r="K46" s="22"/>
      <c r="L46" s="22"/>
      <c r="M46" s="48"/>
      <c r="N46" s="23"/>
      <c r="O46" s="169">
        <f t="shared" si="14"/>
        <v>0</v>
      </c>
      <c r="P46" s="170">
        <f t="shared" si="15"/>
        <v>0</v>
      </c>
      <c r="Q46" s="223"/>
    </row>
    <row r="47" spans="1:17" x14ac:dyDescent="0.25">
      <c r="A47" s="5"/>
      <c r="B47" s="24" t="s">
        <v>7</v>
      </c>
      <c r="C47" s="7"/>
      <c r="D47" s="7"/>
      <c r="E47" s="7">
        <f>SUM(E40:E46)</f>
        <v>30800</v>
      </c>
      <c r="F47" s="167"/>
      <c r="G47" s="167">
        <f>SUM(G40:G46)</f>
        <v>0</v>
      </c>
      <c r="H47" s="167"/>
      <c r="I47" s="167"/>
      <c r="J47" s="167">
        <f>SUM(J40:J46)</f>
        <v>0</v>
      </c>
      <c r="K47" s="167"/>
      <c r="L47" s="10"/>
      <c r="M47" s="11"/>
      <c r="N47" s="7">
        <f t="shared" ref="N47:O47" si="16">SUM(N40:N46)</f>
        <v>0</v>
      </c>
      <c r="O47" s="169">
        <f t="shared" si="16"/>
        <v>0</v>
      </c>
      <c r="P47" s="170">
        <f t="shared" si="15"/>
        <v>0</v>
      </c>
      <c r="Q47" s="96"/>
    </row>
    <row r="48" spans="1:17" x14ac:dyDescent="0.25">
      <c r="A48" s="13"/>
      <c r="B48" s="14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</row>
    <row r="49" spans="1:17" x14ac:dyDescent="0.25">
      <c r="A49" s="76" t="s">
        <v>26</v>
      </c>
      <c r="B49" s="26" t="s">
        <v>153</v>
      </c>
      <c r="C49" s="93"/>
      <c r="D49" s="93"/>
      <c r="E49" s="2"/>
      <c r="F49" s="3" t="s">
        <v>154</v>
      </c>
      <c r="G49" s="1"/>
      <c r="H49" s="1"/>
      <c r="I49" s="2"/>
      <c r="J49" s="162" t="s">
        <v>204</v>
      </c>
      <c r="K49" s="3" t="s">
        <v>175</v>
      </c>
      <c r="L49" s="1"/>
      <c r="M49" s="163"/>
      <c r="N49" s="1"/>
      <c r="O49" s="164"/>
      <c r="P49" s="1"/>
      <c r="Q49" s="2"/>
    </row>
    <row r="50" spans="1:17" ht="41.4" x14ac:dyDescent="0.25">
      <c r="A50" s="25" t="s">
        <v>9</v>
      </c>
      <c r="B50" s="4" t="s">
        <v>98</v>
      </c>
      <c r="C50" s="4" t="s">
        <v>103</v>
      </c>
      <c r="D50" s="4" t="s">
        <v>99</v>
      </c>
      <c r="E50" s="4" t="s">
        <v>133</v>
      </c>
      <c r="F50" s="4" t="s">
        <v>136</v>
      </c>
      <c r="G50" s="4" t="s">
        <v>100</v>
      </c>
      <c r="H50" s="4" t="s">
        <v>161</v>
      </c>
      <c r="I50" s="4" t="s">
        <v>162</v>
      </c>
      <c r="J50" s="162" t="s">
        <v>164</v>
      </c>
      <c r="K50" s="162" t="s">
        <v>89</v>
      </c>
      <c r="L50" s="162" t="s">
        <v>90</v>
      </c>
      <c r="M50" s="162" t="s">
        <v>91</v>
      </c>
      <c r="N50" s="162" t="s">
        <v>95</v>
      </c>
      <c r="O50" s="197" t="s">
        <v>92</v>
      </c>
      <c r="P50" s="162" t="s">
        <v>93</v>
      </c>
      <c r="Q50" s="162" t="s">
        <v>13</v>
      </c>
    </row>
    <row r="51" spans="1:17" ht="42" x14ac:dyDescent="0.3">
      <c r="A51" s="5">
        <v>1</v>
      </c>
      <c r="B51" s="4" t="s">
        <v>262</v>
      </c>
      <c r="C51" s="7">
        <v>1</v>
      </c>
      <c r="D51" s="101">
        <f>5000+'שאלון למילוי מגיש הבקשה - חובה'!$G$35*2000*2</f>
        <v>5000</v>
      </c>
      <c r="E51" s="7">
        <f t="shared" ref="E51:E52" si="17">C51*D51</f>
        <v>5000</v>
      </c>
      <c r="F51" s="8"/>
      <c r="G51" s="167">
        <f t="shared" ref="G51:G52" si="18">D51*F51</f>
        <v>0</v>
      </c>
      <c r="H51" s="168" t="str">
        <f>IF(F51&gt;C51,"נא להסביר חריגה","")</f>
        <v/>
      </c>
      <c r="I51" s="9"/>
      <c r="J51" s="35"/>
      <c r="K51" s="22"/>
      <c r="L51" s="22"/>
      <c r="M51" s="48"/>
      <c r="N51" s="23"/>
      <c r="O51" s="169">
        <f>IF(N51="",0,N51-G51)</f>
        <v>0</v>
      </c>
      <c r="P51" s="170">
        <f t="shared" ref="P51:P53" si="19">IF(G51=0,0,O51/G51)</f>
        <v>0</v>
      </c>
      <c r="Q51" s="223"/>
    </row>
    <row r="52" spans="1:17" ht="28.2" x14ac:dyDescent="0.3">
      <c r="A52" s="5">
        <v>2</v>
      </c>
      <c r="B52" s="4" t="s">
        <v>263</v>
      </c>
      <c r="C52" s="7">
        <v>1</v>
      </c>
      <c r="D52" s="101">
        <f>5000+'שאלון למילוי מגיש הבקשה - חובה'!$G$35*1000*1.5</f>
        <v>5000</v>
      </c>
      <c r="E52" s="7">
        <f t="shared" si="17"/>
        <v>5000</v>
      </c>
      <c r="F52" s="8"/>
      <c r="G52" s="167">
        <f t="shared" si="18"/>
        <v>0</v>
      </c>
      <c r="H52" s="168" t="str">
        <f>IF(F52&gt;C52,"נא להסביר חריגה","")</f>
        <v/>
      </c>
      <c r="I52" s="9"/>
      <c r="J52" s="35"/>
      <c r="K52" s="22"/>
      <c r="L52" s="22"/>
      <c r="M52" s="48"/>
      <c r="N52" s="23"/>
      <c r="O52" s="169">
        <f>IF(N52="",0,N52-G52)</f>
        <v>0</v>
      </c>
      <c r="P52" s="170">
        <f t="shared" si="19"/>
        <v>0</v>
      </c>
      <c r="Q52" s="223"/>
    </row>
    <row r="53" spans="1:17" x14ac:dyDescent="0.25">
      <c r="A53" s="5"/>
      <c r="B53" s="24" t="s">
        <v>11</v>
      </c>
      <c r="C53" s="7"/>
      <c r="D53" s="7"/>
      <c r="E53" s="7">
        <f>SUM(E51:E52)</f>
        <v>10000</v>
      </c>
      <c r="F53" s="167"/>
      <c r="G53" s="167">
        <f>SUM(G51:G52)</f>
        <v>0</v>
      </c>
      <c r="H53" s="167"/>
      <c r="I53" s="167"/>
      <c r="J53" s="167">
        <f>SUM(J51:J52)</f>
        <v>0</v>
      </c>
      <c r="K53" s="167"/>
      <c r="L53" s="10"/>
      <c r="M53" s="11"/>
      <c r="N53" s="7">
        <f t="shared" ref="N53:O53" si="20">SUM(N51:N52)</f>
        <v>0</v>
      </c>
      <c r="O53" s="169">
        <f t="shared" si="20"/>
        <v>0</v>
      </c>
      <c r="P53" s="170">
        <f t="shared" si="19"/>
        <v>0</v>
      </c>
      <c r="Q53" s="96"/>
    </row>
    <row r="54" spans="1:17" x14ac:dyDescent="0.25">
      <c r="A54" s="13"/>
      <c r="B54" s="14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</row>
    <row r="55" spans="1:17" x14ac:dyDescent="0.25">
      <c r="A55" s="76" t="s">
        <v>28</v>
      </c>
      <c r="B55" s="26" t="s">
        <v>155</v>
      </c>
      <c r="C55" s="93"/>
      <c r="D55" s="93"/>
      <c r="E55" s="2"/>
      <c r="F55" s="3" t="s">
        <v>156</v>
      </c>
      <c r="G55" s="1"/>
      <c r="H55" s="1"/>
      <c r="I55" s="2"/>
      <c r="J55" s="162" t="s">
        <v>204</v>
      </c>
      <c r="K55" s="3" t="s">
        <v>176</v>
      </c>
      <c r="L55" s="1"/>
      <c r="M55" s="163"/>
      <c r="N55" s="1"/>
      <c r="O55" s="164"/>
      <c r="P55" s="1"/>
      <c r="Q55" s="2"/>
    </row>
    <row r="56" spans="1:17" ht="41.4" x14ac:dyDescent="0.25">
      <c r="A56" s="25" t="s">
        <v>9</v>
      </c>
      <c r="B56" s="4" t="s">
        <v>98</v>
      </c>
      <c r="C56" s="4" t="s">
        <v>103</v>
      </c>
      <c r="D56" s="4" t="s">
        <v>99</v>
      </c>
      <c r="E56" s="4" t="s">
        <v>133</v>
      </c>
      <c r="F56" s="4" t="s">
        <v>136</v>
      </c>
      <c r="G56" s="4" t="s">
        <v>100</v>
      </c>
      <c r="H56" s="4" t="s">
        <v>161</v>
      </c>
      <c r="I56" s="4" t="s">
        <v>162</v>
      </c>
      <c r="J56" s="162" t="s">
        <v>164</v>
      </c>
      <c r="K56" s="162" t="s">
        <v>89</v>
      </c>
      <c r="L56" s="162" t="s">
        <v>90</v>
      </c>
      <c r="M56" s="162" t="s">
        <v>91</v>
      </c>
      <c r="N56" s="162" t="s">
        <v>95</v>
      </c>
      <c r="O56" s="197" t="s">
        <v>92</v>
      </c>
      <c r="P56" s="162" t="s">
        <v>93</v>
      </c>
      <c r="Q56" s="162" t="s">
        <v>13</v>
      </c>
    </row>
    <row r="57" spans="1:17" x14ac:dyDescent="0.25">
      <c r="A57" s="17">
        <v>1</v>
      </c>
      <c r="B57" s="4" t="s">
        <v>8</v>
      </c>
      <c r="C57" s="7">
        <v>1</v>
      </c>
      <c r="D57" s="7">
        <v>7000</v>
      </c>
      <c r="E57" s="7">
        <f t="shared" ref="E57:E59" si="21">C57*D57</f>
        <v>7000</v>
      </c>
      <c r="F57" s="8"/>
      <c r="G57" s="167">
        <f t="shared" ref="G57:G59" si="22">D57*F57</f>
        <v>0</v>
      </c>
      <c r="H57" s="168" t="str">
        <f>IF(F57&gt;C57,"נא להסביר חריגה","")</f>
        <v/>
      </c>
      <c r="I57" s="9"/>
      <c r="J57" s="35"/>
      <c r="K57" s="22"/>
      <c r="L57" s="22"/>
      <c r="M57" s="48"/>
      <c r="N57" s="23"/>
      <c r="O57" s="169">
        <f>IF(N57="",0,N57-G57)</f>
        <v>0</v>
      </c>
      <c r="P57" s="170">
        <f t="shared" ref="P57:P60" si="23">IF(G57=0,0,O57/G57)</f>
        <v>0</v>
      </c>
      <c r="Q57" s="223"/>
    </row>
    <row r="58" spans="1:17" x14ac:dyDescent="0.25">
      <c r="A58" s="19">
        <v>2</v>
      </c>
      <c r="B58" s="4" t="s">
        <v>257</v>
      </c>
      <c r="C58" s="6">
        <f>IF('שאלון למילוי מגיש הבקשה - חובה'!$G$33&lt;31,1,IF('שאלון למילוי מגיש הבקשה - חובה'!$G$33&lt;61,2,3))</f>
        <v>1</v>
      </c>
      <c r="D58" s="7">
        <v>700</v>
      </c>
      <c r="E58" s="7">
        <f t="shared" si="21"/>
        <v>700</v>
      </c>
      <c r="F58" s="8"/>
      <c r="G58" s="167">
        <f t="shared" si="22"/>
        <v>0</v>
      </c>
      <c r="H58" s="168" t="str">
        <f>IF(F58&gt;C58,"נא להסביר חריגה","")</f>
        <v/>
      </c>
      <c r="I58" s="9"/>
      <c r="J58" s="35"/>
      <c r="K58" s="22"/>
      <c r="L58" s="22"/>
      <c r="M58" s="48"/>
      <c r="N58" s="23"/>
      <c r="O58" s="169">
        <f>IF(N58="",0,N58-G58)</f>
        <v>0</v>
      </c>
      <c r="P58" s="170">
        <f t="shared" si="23"/>
        <v>0</v>
      </c>
      <c r="Q58" s="223"/>
    </row>
    <row r="59" spans="1:17" x14ac:dyDescent="0.25">
      <c r="A59" s="5">
        <v>3</v>
      </c>
      <c r="B59" s="4" t="s">
        <v>258</v>
      </c>
      <c r="C59" s="6">
        <f>IF('שאלון למילוי מגיש הבקשה - חובה'!$G$33&lt;31,1,IF('שאלון למילוי מגיש הבקשה - חובה'!$G$33&lt;61,2,3))</f>
        <v>1</v>
      </c>
      <c r="D59" s="7">
        <v>1300</v>
      </c>
      <c r="E59" s="7">
        <f t="shared" si="21"/>
        <v>1300</v>
      </c>
      <c r="F59" s="8"/>
      <c r="G59" s="167">
        <f t="shared" si="22"/>
        <v>0</v>
      </c>
      <c r="H59" s="168" t="str">
        <f>IF(F59&gt;C59,"נא להסביר חריגה","")</f>
        <v/>
      </c>
      <c r="I59" s="9"/>
      <c r="J59" s="35"/>
      <c r="K59" s="22"/>
      <c r="L59" s="22"/>
      <c r="M59" s="48"/>
      <c r="N59" s="23"/>
      <c r="O59" s="169">
        <f>IF(N59="",0,N59-G59)</f>
        <v>0</v>
      </c>
      <c r="P59" s="170">
        <f t="shared" si="23"/>
        <v>0</v>
      </c>
      <c r="Q59" s="223"/>
    </row>
    <row r="60" spans="1:17" x14ac:dyDescent="0.25">
      <c r="A60" s="5"/>
      <c r="B60" s="24" t="s">
        <v>30</v>
      </c>
      <c r="C60" s="7"/>
      <c r="D60" s="7"/>
      <c r="E60" s="7">
        <f>SUM(E57:E59)</f>
        <v>9000</v>
      </c>
      <c r="F60" s="167"/>
      <c r="G60" s="167">
        <f>SUM(G57:G59)</f>
        <v>0</v>
      </c>
      <c r="H60" s="167"/>
      <c r="I60" s="167"/>
      <c r="J60" s="167">
        <f>SUM(J57:J59)</f>
        <v>0</v>
      </c>
      <c r="K60" s="167"/>
      <c r="L60" s="10"/>
      <c r="M60" s="11"/>
      <c r="N60" s="7">
        <f t="shared" ref="N60:O60" si="24">SUM(N57:N59)</f>
        <v>0</v>
      </c>
      <c r="O60" s="169">
        <f t="shared" si="24"/>
        <v>0</v>
      </c>
      <c r="P60" s="170">
        <f t="shared" si="23"/>
        <v>0</v>
      </c>
      <c r="Q60" s="96"/>
    </row>
    <row r="61" spans="1:17" x14ac:dyDescent="0.25">
      <c r="A61" s="13"/>
      <c r="B61" s="79"/>
      <c r="C61" s="15"/>
      <c r="D61" s="15"/>
      <c r="E61" s="15"/>
      <c r="F61" s="172"/>
      <c r="G61" s="172"/>
      <c r="H61" s="172"/>
      <c r="I61" s="172"/>
      <c r="J61" s="172"/>
      <c r="K61" s="172"/>
      <c r="L61" s="16"/>
      <c r="M61" s="173"/>
      <c r="N61" s="15"/>
      <c r="O61" s="175"/>
      <c r="P61" s="176"/>
      <c r="Q61" s="174"/>
    </row>
    <row r="62" spans="1:17" s="39" customFormat="1" x14ac:dyDescent="0.25">
      <c r="A62" s="177" t="s">
        <v>198</v>
      </c>
      <c r="B62" s="178" t="str">
        <f>B10</f>
        <v xml:space="preserve">קטגוריה ב'- ציוד כללי לסדנאות, חללים משותפים וציוד נוסף </v>
      </c>
      <c r="C62" s="180"/>
      <c r="D62" s="180"/>
      <c r="E62" s="180"/>
      <c r="F62" s="180"/>
      <c r="G62" s="180"/>
      <c r="O62" s="181"/>
      <c r="Q62" s="28"/>
    </row>
    <row r="63" spans="1:17" ht="41.4" x14ac:dyDescent="0.25">
      <c r="A63" s="182"/>
      <c r="B63" s="77" t="str">
        <f>B10</f>
        <v xml:space="preserve">קטגוריה ב'- ציוד כללי לסדנאות, חללים משותפים וציוד נוסף </v>
      </c>
      <c r="C63" s="20"/>
      <c r="D63" s="33"/>
      <c r="E63" s="34" t="s">
        <v>196</v>
      </c>
      <c r="F63" s="32"/>
      <c r="G63" s="34" t="s">
        <v>197</v>
      </c>
      <c r="H63" s="32"/>
      <c r="I63" s="32"/>
      <c r="J63" s="34" t="str">
        <f>J12</f>
        <v>צפי עלות רכישה: בשלב  א</v>
      </c>
      <c r="K63" s="32"/>
      <c r="L63" s="32"/>
      <c r="M63" s="32"/>
      <c r="N63" s="34" t="str">
        <f>N12</f>
        <v>סכום - שנרכש בפועל כולל מע"מ</v>
      </c>
      <c r="O63" s="56" t="str">
        <f>O12</f>
        <v>הפרש בין הסכום שנרכש בפועל לעלות שאושרה</v>
      </c>
      <c r="P63" s="34" t="str">
        <f>P12</f>
        <v>שיעור ההפרש</v>
      </c>
      <c r="Q63" s="34"/>
    </row>
    <row r="64" spans="1:17" s="39" customFormat="1" x14ac:dyDescent="0.25">
      <c r="A64" s="188"/>
      <c r="B64" s="78" t="str">
        <f>'קטגוריה א - ציוד לחדרי קבוצות'!B51</f>
        <v>סה"כ  וכולל מע"מ</v>
      </c>
      <c r="C64" s="45"/>
      <c r="D64" s="46"/>
      <c r="E64" s="6">
        <f>E15+E25+E29+E36+E47+E53+E60</f>
        <v>159800</v>
      </c>
      <c r="F64" s="6"/>
      <c r="G64" s="6">
        <f>G15+G25+G29+G36+G47+G53+G60</f>
        <v>0</v>
      </c>
      <c r="H64" s="47"/>
      <c r="I64" s="47"/>
      <c r="J64" s="6">
        <f>J15+J25+J29+J36+J47+J53+J60</f>
        <v>0</v>
      </c>
      <c r="K64" s="47"/>
      <c r="L64" s="47"/>
      <c r="M64" s="47"/>
      <c r="N64" s="6">
        <f>N15+N25+N29+N36+N47+N53+N60</f>
        <v>0</v>
      </c>
      <c r="O64" s="193">
        <f>IF(N64="",0,N64-G64)</f>
        <v>0</v>
      </c>
      <c r="P64" s="194">
        <f t="shared" ref="P64" si="25">IF(G64=0,0,O64/G64)</f>
        <v>0</v>
      </c>
      <c r="Q64" s="224"/>
    </row>
    <row r="67" spans="6:14" x14ac:dyDescent="0.25">
      <c r="F67" s="200"/>
      <c r="K67" s="200"/>
      <c r="N67" s="200"/>
    </row>
    <row r="68" spans="6:14" x14ac:dyDescent="0.25">
      <c r="F68" s="200"/>
    </row>
    <row r="69" spans="6:14" x14ac:dyDescent="0.25">
      <c r="F69" s="200"/>
    </row>
  </sheetData>
  <sheetProtection algorithmName="SHA-512" hashValue="+ufGhw2UhE4ZfFinEAx41vIRV2lswBEpVhw9FkQlSo5JF+VJy14XE0KlVl9SvFgg+mGfLg1mtcZBQpoA5qUvsQ==" saltValue="uRfcTIlkI8UDglEVIDByNw==" spinCount="100000" sheet="1" formatCells="0" formatColumns="0" formatRows="0"/>
  <conditionalFormatting sqref="I13:I14">
    <cfRule type="containsText" dxfId="84" priority="106" operator="containsText" text="נא להסביר חריגה כאן">
      <formula>NOT(ISERROR(SEARCH("נא להסביר חריגה כאן",I13)))</formula>
    </cfRule>
  </conditionalFormatting>
  <conditionalFormatting sqref="J13">
    <cfRule type="containsText" dxfId="83" priority="85" operator="containsText" text="נא להסביר חריגה כאן">
      <formula>NOT(ISERROR(SEARCH("נא להסביר חריגה כאן",J13)))</formula>
    </cfRule>
  </conditionalFormatting>
  <conditionalFormatting sqref="J22:J24">
    <cfRule type="containsText" dxfId="82" priority="78" operator="containsText" text="נא להסביר חריגה כאן">
      <formula>NOT(ISERROR(SEARCH("נא להסביר חריגה כאן",J22)))</formula>
    </cfRule>
  </conditionalFormatting>
  <conditionalFormatting sqref="H13:H14">
    <cfRule type="containsText" dxfId="81" priority="72" operator="containsText" text="נא להסביר חריגה כאן">
      <formula>NOT(ISERROR(SEARCH("נא להסביר חריגה כאן",H13)))</formula>
    </cfRule>
  </conditionalFormatting>
  <conditionalFormatting sqref="H13:H14">
    <cfRule type="cellIs" dxfId="80" priority="70" operator="equal">
      <formula>"נא להסביר חריגה"</formula>
    </cfRule>
    <cfRule type="cellIs" dxfId="79" priority="71" operator="equal">
      <formula>"נא להסביר חריגה"</formula>
    </cfRule>
  </conditionalFormatting>
  <conditionalFormatting sqref="H22:H24">
    <cfRule type="containsText" dxfId="78" priority="69" operator="containsText" text="נא להסביר חריגה כאן">
      <formula>NOT(ISERROR(SEARCH("נא להסביר חריגה כאן",H22)))</formula>
    </cfRule>
  </conditionalFormatting>
  <conditionalFormatting sqref="H22:H24">
    <cfRule type="cellIs" dxfId="77" priority="67" operator="equal">
      <formula>"נא להסביר חריגה"</formula>
    </cfRule>
    <cfRule type="cellIs" dxfId="76" priority="68" operator="equal">
      <formula>"נא להסביר חריגה"</formula>
    </cfRule>
  </conditionalFormatting>
  <conditionalFormatting sqref="H33">
    <cfRule type="containsText" dxfId="75" priority="66" operator="containsText" text="נא להסביר חריגה כאן">
      <formula>NOT(ISERROR(SEARCH("נא להסביר חריגה כאן",H33)))</formula>
    </cfRule>
  </conditionalFormatting>
  <conditionalFormatting sqref="H33">
    <cfRule type="cellIs" dxfId="74" priority="64" operator="equal">
      <formula>"נא להסביר חריגה"</formula>
    </cfRule>
    <cfRule type="cellIs" dxfId="73" priority="65" operator="equal">
      <formula>"נא להסביר חריגה"</formula>
    </cfRule>
  </conditionalFormatting>
  <conditionalFormatting sqref="H34:H35">
    <cfRule type="containsText" dxfId="72" priority="63" operator="containsText" text="נא להסביר חריגה כאן">
      <formula>NOT(ISERROR(SEARCH("נא להסביר חריגה כאן",H34)))</formula>
    </cfRule>
  </conditionalFormatting>
  <conditionalFormatting sqref="H34:H35">
    <cfRule type="cellIs" dxfId="71" priority="61" operator="equal">
      <formula>"נא להסביר חריגה"</formula>
    </cfRule>
    <cfRule type="cellIs" dxfId="70" priority="62" operator="equal">
      <formula>"נא להסביר חריגה"</formula>
    </cfRule>
  </conditionalFormatting>
  <conditionalFormatting sqref="H40:H46">
    <cfRule type="containsText" dxfId="69" priority="60" operator="containsText" text="נא להסביר חריגה כאן">
      <formula>NOT(ISERROR(SEARCH("נא להסביר חריגה כאן",H40)))</formula>
    </cfRule>
  </conditionalFormatting>
  <conditionalFormatting sqref="H40:H46">
    <cfRule type="cellIs" dxfId="68" priority="58" operator="equal">
      <formula>"נא להסביר חריגה"</formula>
    </cfRule>
    <cfRule type="cellIs" dxfId="67" priority="59" operator="equal">
      <formula>"נא להסביר חריגה"</formula>
    </cfRule>
  </conditionalFormatting>
  <conditionalFormatting sqref="H51:H52">
    <cfRule type="containsText" dxfId="66" priority="57" operator="containsText" text="נא להסביר חריגה כאן">
      <formula>NOT(ISERROR(SEARCH("נא להסביר חריגה כאן",H51)))</formula>
    </cfRule>
  </conditionalFormatting>
  <conditionalFormatting sqref="H51:H52">
    <cfRule type="cellIs" dxfId="65" priority="55" operator="equal">
      <formula>"נא להסביר חריגה"</formula>
    </cfRule>
    <cfRule type="cellIs" dxfId="64" priority="56" operator="equal">
      <formula>"נא להסביר חריגה"</formula>
    </cfRule>
  </conditionalFormatting>
  <conditionalFormatting sqref="H57:H59">
    <cfRule type="containsText" dxfId="63" priority="54" operator="containsText" text="נא להסביר חריגה כאן">
      <formula>NOT(ISERROR(SEARCH("נא להסביר חריגה כאן",H57)))</formula>
    </cfRule>
  </conditionalFormatting>
  <conditionalFormatting sqref="H57:H59">
    <cfRule type="cellIs" dxfId="62" priority="52" operator="equal">
      <formula>"נא להסביר חריגה"</formula>
    </cfRule>
    <cfRule type="cellIs" dxfId="61" priority="53" operator="equal">
      <formula>"נא להסביר חריגה"</formula>
    </cfRule>
  </conditionalFormatting>
  <conditionalFormatting sqref="P13:P16">
    <cfRule type="cellIs" dxfId="60" priority="51" operator="greaterThan">
      <formula>0</formula>
    </cfRule>
  </conditionalFormatting>
  <conditionalFormatting sqref="P22:P25">
    <cfRule type="cellIs" dxfId="59" priority="50" operator="greaterThan">
      <formula>0</formula>
    </cfRule>
  </conditionalFormatting>
  <conditionalFormatting sqref="P29">
    <cfRule type="cellIs" dxfId="58" priority="49" operator="greaterThan">
      <formula>0</formula>
    </cfRule>
  </conditionalFormatting>
  <conditionalFormatting sqref="P33:P36">
    <cfRule type="cellIs" dxfId="57" priority="48" operator="greaterThan">
      <formula>0</formula>
    </cfRule>
  </conditionalFormatting>
  <conditionalFormatting sqref="P40:P47">
    <cfRule type="cellIs" dxfId="56" priority="47" operator="greaterThan">
      <formula>0</formula>
    </cfRule>
  </conditionalFormatting>
  <conditionalFormatting sqref="P51:P53">
    <cfRule type="cellIs" dxfId="55" priority="46" operator="greaterThan">
      <formula>0</formula>
    </cfRule>
  </conditionalFormatting>
  <conditionalFormatting sqref="P57:P61">
    <cfRule type="cellIs" dxfId="54" priority="45" operator="greaterThan">
      <formula>0</formula>
    </cfRule>
  </conditionalFormatting>
  <conditionalFormatting sqref="Q64">
    <cfRule type="cellIs" dxfId="53" priority="44" operator="greaterThan">
      <formula>0</formula>
    </cfRule>
  </conditionalFormatting>
  <conditionalFormatting sqref="P64">
    <cfRule type="cellIs" dxfId="52" priority="43" operator="greaterThan">
      <formula>0</formula>
    </cfRule>
  </conditionalFormatting>
  <conditionalFormatting sqref="O29">
    <cfRule type="cellIs" dxfId="51" priority="35" operator="greaterThan">
      <formula>0</formula>
    </cfRule>
  </conditionalFormatting>
  <conditionalFormatting sqref="O64">
    <cfRule type="cellIs" dxfId="50" priority="30" operator="greaterThan">
      <formula>0</formula>
    </cfRule>
  </conditionalFormatting>
  <conditionalFormatting sqref="O13:O15">
    <cfRule type="cellIs" dxfId="49" priority="29" operator="greaterThan">
      <formula>0</formula>
    </cfRule>
  </conditionalFormatting>
  <conditionalFormatting sqref="O22:O25">
    <cfRule type="cellIs" dxfId="48" priority="28" operator="greaterThan">
      <formula>0</formula>
    </cfRule>
  </conditionalFormatting>
  <conditionalFormatting sqref="O33:O36">
    <cfRule type="cellIs" dxfId="47" priority="27" operator="greaterThan">
      <formula>0</formula>
    </cfRule>
  </conditionalFormatting>
  <conditionalFormatting sqref="O40:O47">
    <cfRule type="cellIs" dxfId="46" priority="26" operator="greaterThan">
      <formula>0</formula>
    </cfRule>
  </conditionalFormatting>
  <conditionalFormatting sqref="O51:O53">
    <cfRule type="cellIs" dxfId="45" priority="25" operator="greaterThan">
      <formula>0</formula>
    </cfRule>
  </conditionalFormatting>
  <conditionalFormatting sqref="O57:O60">
    <cfRule type="cellIs" dxfId="44" priority="24" operator="greaterThan">
      <formula>0</formula>
    </cfRule>
  </conditionalFormatting>
  <conditionalFormatting sqref="J29">
    <cfRule type="containsText" dxfId="43" priority="22" operator="containsText" text="נא להסביר חריגה כאן">
      <formula>NOT(ISERROR(SEARCH("נא להסביר חריגה כאן",J29)))</formula>
    </cfRule>
  </conditionalFormatting>
  <conditionalFormatting sqref="H29">
    <cfRule type="containsText" dxfId="42" priority="18" operator="containsText" text="נא להסביר חריגה כאן">
      <formula>NOT(ISERROR(SEARCH("נא להסביר חריגה כאן",H29)))</formula>
    </cfRule>
  </conditionalFormatting>
  <conditionalFormatting sqref="H29">
    <cfRule type="cellIs" dxfId="41" priority="16" operator="equal">
      <formula>"נא להסביר חריגה"</formula>
    </cfRule>
    <cfRule type="cellIs" dxfId="40" priority="17" operator="equal">
      <formula>"נא להסביר חריגה"</formula>
    </cfRule>
  </conditionalFormatting>
  <conditionalFormatting sqref="J33:J35">
    <cfRule type="containsText" dxfId="39" priority="14" operator="containsText" text="נא להסביר חריגה כאן">
      <formula>NOT(ISERROR(SEARCH("נא להסביר חריגה כאן",J33)))</formula>
    </cfRule>
  </conditionalFormatting>
  <conditionalFormatting sqref="J40:J46">
    <cfRule type="containsText" dxfId="38" priority="12" operator="containsText" text="נא להסביר חריגה כאן">
      <formula>NOT(ISERROR(SEARCH("נא להסביר חריגה כאן",J40)))</formula>
    </cfRule>
  </conditionalFormatting>
  <conditionalFormatting sqref="J51:J52">
    <cfRule type="containsText" dxfId="37" priority="10" operator="containsText" text="נא להסביר חריגה כאן">
      <formula>NOT(ISERROR(SEARCH("נא להסביר חריגה כאן",J51)))</formula>
    </cfRule>
  </conditionalFormatting>
  <conditionalFormatting sqref="J57:J59">
    <cfRule type="containsText" dxfId="36" priority="8" operator="containsText" text="נא להסביר חריגה כאן">
      <formula>NOT(ISERROR(SEARCH("נא להסביר חריגה כאן",J57)))</formula>
    </cfRule>
  </conditionalFormatting>
  <conditionalFormatting sqref="J14">
    <cfRule type="containsText" dxfId="35" priority="7" operator="containsText" text="נא להסביר חריגה כאן">
      <formula>NOT(ISERROR(SEARCH("נא להסביר חריגה כאן",J14)))</formula>
    </cfRule>
  </conditionalFormatting>
  <conditionalFormatting sqref="I22:I24">
    <cfRule type="containsText" dxfId="34" priority="6" operator="containsText" text="נא להסביר חריגה כאן">
      <formula>NOT(ISERROR(SEARCH("נא להסביר חריגה כאן",I22)))</formula>
    </cfRule>
  </conditionalFormatting>
  <conditionalFormatting sqref="I29">
    <cfRule type="containsText" dxfId="33" priority="5" operator="containsText" text="נא להסביר חריגה כאן">
      <formula>NOT(ISERROR(SEARCH("נא להסביר חריגה כאן",I29)))</formula>
    </cfRule>
  </conditionalFormatting>
  <conditionalFormatting sqref="I33:I35">
    <cfRule type="containsText" dxfId="32" priority="4" operator="containsText" text="נא להסביר חריגה כאן">
      <formula>NOT(ISERROR(SEARCH("נא להסביר חריגה כאן",I33)))</formula>
    </cfRule>
  </conditionalFormatting>
  <conditionalFormatting sqref="I40:I46">
    <cfRule type="containsText" dxfId="31" priority="3" operator="containsText" text="נא להסביר חריגה כאן">
      <formula>NOT(ISERROR(SEARCH("נא להסביר חריגה כאן",I40)))</formula>
    </cfRule>
  </conditionalFormatting>
  <conditionalFormatting sqref="I51:I52">
    <cfRule type="containsText" dxfId="30" priority="2" operator="containsText" text="נא להסביר חריגה כאן">
      <formula>NOT(ISERROR(SEARCH("נא להסביר חריגה כאן",I51)))</formula>
    </cfRule>
  </conditionalFormatting>
  <conditionalFormatting sqref="I57:I59">
    <cfRule type="containsText" dxfId="29" priority="1" operator="containsText" text="נא להסביר חריגה כאן">
      <formula>NOT(ISERROR(SEARCH("נא להסביר חריגה כאן",I57)))</formula>
    </cfRule>
  </conditionalFormatting>
  <pageMargins left="0.70866141732283472" right="1.299212598425197" top="0.74803149606299213" bottom="0.74803149606299213" header="0.31496062992125984" footer="0.31496062992125984"/>
  <pageSetup scale="80" orientation="landscape" r:id="rId1"/>
  <headerFooter>
    <oddHeader>&amp;C&amp;"David,רגיל"&amp;16קרנות הביטוח הלאומי
הקרן לפיתוח שרותים לנכים</oddHeader>
  </headerFooter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74"/>
  <sheetViews>
    <sheetView rightToLeft="1" zoomScaleNormal="100" workbookViewId="0"/>
  </sheetViews>
  <sheetFormatPr defaultColWidth="9" defaultRowHeight="13.8" x14ac:dyDescent="0.25"/>
  <cols>
    <col min="1" max="1" width="5.09765625" style="28" customWidth="1"/>
    <col min="2" max="2" width="39.3984375" style="28" customWidth="1"/>
    <col min="3" max="3" width="10.5" style="28" customWidth="1"/>
    <col min="4" max="4" width="12.8984375" style="28" customWidth="1"/>
    <col min="5" max="5" width="11.8984375" style="28" customWidth="1"/>
    <col min="6" max="6" width="10.69921875" style="28" customWidth="1"/>
    <col min="7" max="7" width="9.19921875" style="28" customWidth="1"/>
    <col min="8" max="8" width="14" style="28" customWidth="1"/>
    <col min="9" max="9" width="21.59765625" style="28" customWidth="1"/>
    <col min="10" max="10" width="10.3984375" style="28" hidden="1" customWidth="1"/>
    <col min="11" max="11" width="11.8984375" style="28" hidden="1" customWidth="1"/>
    <col min="12" max="12" width="12.19921875" style="28" hidden="1" customWidth="1"/>
    <col min="13" max="13" width="10.8984375" style="28" hidden="1" customWidth="1"/>
    <col min="14" max="14" width="12.8984375" style="28" hidden="1" customWidth="1"/>
    <col min="15" max="15" width="10.69921875" style="148" hidden="1" customWidth="1"/>
    <col min="16" max="16" width="11.09765625" style="28" hidden="1" customWidth="1"/>
    <col min="17" max="17" width="17.3984375" style="28" hidden="1" customWidth="1"/>
    <col min="18" max="16384" width="9" style="28"/>
  </cols>
  <sheetData>
    <row r="1" spans="1:17" ht="15.6" x14ac:dyDescent="0.3">
      <c r="A1" s="146"/>
      <c r="B1" s="147" t="str">
        <f>'שאלון למילוי מגיש הבקשה - חובה'!$C$7</f>
        <v>שם הגוף המבקש:</v>
      </c>
      <c r="C1" s="147">
        <f>'שאלון למילוי מגיש הבקשה - חובה'!$G$7</f>
        <v>0</v>
      </c>
    </row>
    <row r="2" spans="1:17" ht="15.6" x14ac:dyDescent="0.3">
      <c r="A2" s="146"/>
      <c r="B2" s="147" t="str">
        <f>'שאלון למילוי מגיש הבקשה - חובה'!$C$18</f>
        <v>שם המסגרת:</v>
      </c>
      <c r="C2" s="147">
        <f>'שאלון למילוי מגיש הבקשה - חובה'!$G$18</f>
        <v>0</v>
      </c>
    </row>
    <row r="3" spans="1:17" ht="15.6" x14ac:dyDescent="0.3">
      <c r="A3" s="146"/>
      <c r="B3" s="147" t="str">
        <f>'שאלון למילוי מגיש הבקשה - חובה'!$C$33</f>
        <v>מספר האנשים שעבורם מיועד הפרויקט:</v>
      </c>
      <c r="C3" s="147">
        <f>'שאלון למילוי מגיש הבקשה - חובה'!$G$33</f>
        <v>0</v>
      </c>
    </row>
    <row r="4" spans="1:17" ht="15.6" x14ac:dyDescent="0.3">
      <c r="A4" s="146"/>
      <c r="B4" s="147" t="str">
        <f>'שאלון למילוי מגיש הבקשה - חובה'!$C$35</f>
        <v>מספר חדרי פעילות:</v>
      </c>
      <c r="C4" s="147">
        <f>'שאלון למילוי מגיש הבקשה - חובה'!$G$35</f>
        <v>0</v>
      </c>
    </row>
    <row r="5" spans="1:17" ht="15.6" x14ac:dyDescent="0.3">
      <c r="A5" s="146"/>
      <c r="B5" s="149" t="s">
        <v>278</v>
      </c>
      <c r="C5" s="147"/>
    </row>
    <row r="6" spans="1:17" x14ac:dyDescent="0.25">
      <c r="A6" s="150"/>
      <c r="B6" s="151" t="str">
        <f>'קטגוריה א - ציוד לחדרי קבוצות'!B6</f>
        <v>כמויות התקן משתנות בהתאם  למספר האנשים במסגרת ומספר חדרי קבוצות.</v>
      </c>
      <c r="C6" s="152"/>
    </row>
    <row r="7" spans="1:17" x14ac:dyDescent="0.25">
      <c r="A7" s="152"/>
      <c r="B7" s="153" t="str">
        <f>'קטגוריה א - ציוד לחדרי קבוצות'!B7</f>
        <v>מבקש  הציוד  מתבקש למלא  רק  את  התאים  הממורקרים בתכלת.</v>
      </c>
      <c r="G7" s="152"/>
    </row>
    <row r="8" spans="1:17" x14ac:dyDescent="0.25">
      <c r="B8" s="154" t="str">
        <f>'קטגוריה א - ציוד לחדרי קבוצות'!B8</f>
        <v xml:space="preserve">כל  המחירים והעלויות להלן  נקובים  בש"ח  וכוללים  מע"מ  </v>
      </c>
    </row>
    <row r="9" spans="1:17" x14ac:dyDescent="0.25">
      <c r="B9" s="155" t="s">
        <v>322</v>
      </c>
      <c r="D9" s="156"/>
    </row>
    <row r="10" spans="1:17" s="161" customFormat="1" ht="17.399999999999999" x14ac:dyDescent="0.3">
      <c r="A10" s="157">
        <v>4.3</v>
      </c>
      <c r="B10" s="147" t="s">
        <v>110</v>
      </c>
      <c r="C10" s="158" t="s">
        <v>318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Q10" s="28"/>
    </row>
    <row r="11" spans="1:17" ht="17.399999999999999" x14ac:dyDescent="0.3">
      <c r="A11" s="27" t="s">
        <v>108</v>
      </c>
      <c r="B11" s="92" t="s">
        <v>323</v>
      </c>
      <c r="C11" s="1"/>
      <c r="D11" s="1"/>
      <c r="E11" s="2"/>
      <c r="F11" s="3" t="s">
        <v>104</v>
      </c>
      <c r="G11" s="93"/>
      <c r="H11" s="1"/>
      <c r="I11" s="2"/>
      <c r="J11" s="162" t="s">
        <v>204</v>
      </c>
      <c r="K11" s="3" t="s">
        <v>177</v>
      </c>
      <c r="L11" s="1"/>
      <c r="M11" s="163"/>
      <c r="N11" s="1"/>
      <c r="O11" s="164"/>
      <c r="P11" s="1"/>
      <c r="Q11" s="2"/>
    </row>
    <row r="12" spans="1:17" ht="55.2" x14ac:dyDescent="0.25">
      <c r="A12" s="4" t="s">
        <v>97</v>
      </c>
      <c r="B12" s="80" t="s">
        <v>297</v>
      </c>
      <c r="C12" s="4" t="s">
        <v>199</v>
      </c>
      <c r="D12" s="4" t="s">
        <v>201</v>
      </c>
      <c r="E12" s="4" t="s">
        <v>200</v>
      </c>
      <c r="F12" s="4" t="s">
        <v>136</v>
      </c>
      <c r="G12" s="4" t="s">
        <v>202</v>
      </c>
      <c r="H12" s="4" t="s">
        <v>161</v>
      </c>
      <c r="I12" s="4" t="s">
        <v>162</v>
      </c>
      <c r="J12" s="165" t="s">
        <v>203</v>
      </c>
      <c r="K12" s="165" t="s">
        <v>89</v>
      </c>
      <c r="L12" s="165" t="s">
        <v>90</v>
      </c>
      <c r="M12" s="165" t="s">
        <v>91</v>
      </c>
      <c r="N12" s="165" t="s">
        <v>95</v>
      </c>
      <c r="O12" s="166" t="s">
        <v>92</v>
      </c>
      <c r="P12" s="165" t="s">
        <v>93</v>
      </c>
      <c r="Q12" s="165" t="s">
        <v>13</v>
      </c>
    </row>
    <row r="13" spans="1:17" x14ac:dyDescent="0.25">
      <c r="A13" s="5">
        <v>1</v>
      </c>
      <c r="B13" s="4" t="s">
        <v>264</v>
      </c>
      <c r="C13" s="7">
        <v>1</v>
      </c>
      <c r="D13" s="6">
        <f>IF('שאלון למילוי מגיש הבקשה - חובה'!$G$33&lt;31,5000,IF('שאלון למילוי מגיש הבקשה - חובה'!$G$33&lt;61,8000,15000))</f>
        <v>5000</v>
      </c>
      <c r="E13" s="167">
        <f>C13*D13</f>
        <v>5000</v>
      </c>
      <c r="F13" s="8"/>
      <c r="G13" s="167">
        <f>D13*F13</f>
        <v>0</v>
      </c>
      <c r="H13" s="168" t="str">
        <f t="shared" ref="H13:H27" si="0">IF(F13&gt;C13,"נא להסביר חריגה","")</f>
        <v/>
      </c>
      <c r="I13" s="9"/>
      <c r="J13" s="35"/>
      <c r="K13" s="22"/>
      <c r="L13" s="22"/>
      <c r="M13" s="48"/>
      <c r="N13" s="23"/>
      <c r="O13" s="169">
        <f t="shared" ref="O13:O27" si="1">IF(N13="",0,N13-G13)</f>
        <v>0</v>
      </c>
      <c r="P13" s="170">
        <f t="shared" ref="P13:P28" si="2">IF(G13=0,0,O13/G13)</f>
        <v>0</v>
      </c>
      <c r="Q13" s="225"/>
    </row>
    <row r="14" spans="1:17" ht="27.6" x14ac:dyDescent="0.25">
      <c r="A14" s="5">
        <v>2</v>
      </c>
      <c r="B14" s="4" t="s">
        <v>275</v>
      </c>
      <c r="C14" s="7">
        <v>1</v>
      </c>
      <c r="D14" s="6">
        <f>IF('שאלון למילוי מגיש הבקשה - חובה'!$G$33&lt;31,5000,IF('שאלון למילוי מגיש הבקשה - חובה'!$G$33&lt;61,8000,15000))</f>
        <v>5000</v>
      </c>
      <c r="E14" s="167">
        <f t="shared" ref="E14:E27" si="3">C14*D14</f>
        <v>5000</v>
      </c>
      <c r="F14" s="8"/>
      <c r="G14" s="167">
        <f t="shared" ref="G14:G27" si="4">D14*F14</f>
        <v>0</v>
      </c>
      <c r="H14" s="168" t="str">
        <f t="shared" si="0"/>
        <v/>
      </c>
      <c r="I14" s="9"/>
      <c r="J14" s="35"/>
      <c r="K14" s="22"/>
      <c r="L14" s="22"/>
      <c r="M14" s="48"/>
      <c r="N14" s="23"/>
      <c r="O14" s="169">
        <f t="shared" si="1"/>
        <v>0</v>
      </c>
      <c r="P14" s="170">
        <f t="shared" si="2"/>
        <v>0</v>
      </c>
      <c r="Q14" s="225"/>
    </row>
    <row r="15" spans="1:17" x14ac:dyDescent="0.25">
      <c r="A15" s="5">
        <v>3</v>
      </c>
      <c r="B15" s="4" t="s">
        <v>274</v>
      </c>
      <c r="C15" s="7">
        <v>1</v>
      </c>
      <c r="D15" s="6">
        <f>IF('שאלון למילוי מגיש הבקשה - חובה'!$G$33&lt;31,25000,IF('שאלון למילוי מגיש הבקשה - חובה'!$G$33&lt;61,35000,50000))</f>
        <v>25000</v>
      </c>
      <c r="E15" s="167">
        <f t="shared" si="3"/>
        <v>25000</v>
      </c>
      <c r="F15" s="8"/>
      <c r="G15" s="167">
        <f t="shared" si="4"/>
        <v>0</v>
      </c>
      <c r="H15" s="168" t="str">
        <f t="shared" si="0"/>
        <v/>
      </c>
      <c r="I15" s="9"/>
      <c r="J15" s="35"/>
      <c r="K15" s="22"/>
      <c r="L15" s="22"/>
      <c r="M15" s="48"/>
      <c r="N15" s="23"/>
      <c r="O15" s="169">
        <f t="shared" si="1"/>
        <v>0</v>
      </c>
      <c r="P15" s="170">
        <f t="shared" si="2"/>
        <v>0</v>
      </c>
      <c r="Q15" s="225"/>
    </row>
    <row r="16" spans="1:17" x14ac:dyDescent="0.25">
      <c r="A16" s="5">
        <v>4</v>
      </c>
      <c r="B16" s="4" t="s">
        <v>265</v>
      </c>
      <c r="C16" s="7">
        <v>1</v>
      </c>
      <c r="D16" s="6">
        <f>IF('שאלון למילוי מגיש הבקשה - חובה'!$G$33&lt;31,10000,IF('שאלון למילוי מגיש הבקשה - חובה'!$G$33&lt;61,15000,25000))</f>
        <v>10000</v>
      </c>
      <c r="E16" s="167">
        <f t="shared" si="3"/>
        <v>10000</v>
      </c>
      <c r="F16" s="8"/>
      <c r="G16" s="167">
        <f t="shared" si="4"/>
        <v>0</v>
      </c>
      <c r="H16" s="168" t="str">
        <f t="shared" si="0"/>
        <v/>
      </c>
      <c r="I16" s="9"/>
      <c r="J16" s="35"/>
      <c r="K16" s="22"/>
      <c r="L16" s="22"/>
      <c r="M16" s="48"/>
      <c r="N16" s="23"/>
      <c r="O16" s="169">
        <f t="shared" si="1"/>
        <v>0</v>
      </c>
      <c r="P16" s="170">
        <f t="shared" si="2"/>
        <v>0</v>
      </c>
      <c r="Q16" s="225"/>
    </row>
    <row r="17" spans="1:17" x14ac:dyDescent="0.25">
      <c r="A17" s="5">
        <v>5</v>
      </c>
      <c r="B17" s="4" t="s">
        <v>0</v>
      </c>
      <c r="C17" s="7">
        <v>1</v>
      </c>
      <c r="D17" s="7">
        <v>4000</v>
      </c>
      <c r="E17" s="167">
        <f t="shared" si="3"/>
        <v>4000</v>
      </c>
      <c r="F17" s="8"/>
      <c r="G17" s="167">
        <f t="shared" si="4"/>
        <v>0</v>
      </c>
      <c r="H17" s="168" t="str">
        <f t="shared" si="0"/>
        <v/>
      </c>
      <c r="I17" s="9"/>
      <c r="J17" s="35"/>
      <c r="K17" s="22"/>
      <c r="L17" s="22"/>
      <c r="M17" s="48"/>
      <c r="N17" s="23"/>
      <c r="O17" s="169">
        <f t="shared" si="1"/>
        <v>0</v>
      </c>
      <c r="P17" s="170">
        <f t="shared" si="2"/>
        <v>0</v>
      </c>
      <c r="Q17" s="225"/>
    </row>
    <row r="18" spans="1:17" ht="27.6" x14ac:dyDescent="0.25">
      <c r="A18" s="5">
        <v>6</v>
      </c>
      <c r="B18" s="4" t="s">
        <v>266</v>
      </c>
      <c r="C18" s="7">
        <v>1</v>
      </c>
      <c r="D18" s="6">
        <f>IF('שאלון למילוי מגיש הבקשה - חובה'!$G$33&lt;31,12000,IF('שאלון למילוי מגיש הבקשה - חובה'!$G$33&lt;61,18000,30000))</f>
        <v>12000</v>
      </c>
      <c r="E18" s="167">
        <f t="shared" si="3"/>
        <v>12000</v>
      </c>
      <c r="F18" s="8"/>
      <c r="G18" s="167">
        <f t="shared" si="4"/>
        <v>0</v>
      </c>
      <c r="H18" s="168" t="str">
        <f t="shared" si="0"/>
        <v/>
      </c>
      <c r="I18" s="9"/>
      <c r="J18" s="35"/>
      <c r="K18" s="22"/>
      <c r="L18" s="22"/>
      <c r="M18" s="48"/>
      <c r="N18" s="23"/>
      <c r="O18" s="169">
        <f t="shared" si="1"/>
        <v>0</v>
      </c>
      <c r="P18" s="170">
        <f t="shared" si="2"/>
        <v>0</v>
      </c>
      <c r="Q18" s="225"/>
    </row>
    <row r="19" spans="1:17" x14ac:dyDescent="0.25">
      <c r="A19" s="5">
        <v>7</v>
      </c>
      <c r="B19" s="4" t="s">
        <v>1</v>
      </c>
      <c r="C19" s="7">
        <v>1</v>
      </c>
      <c r="D19" s="7">
        <v>4000</v>
      </c>
      <c r="E19" s="167">
        <f t="shared" si="3"/>
        <v>4000</v>
      </c>
      <c r="F19" s="8"/>
      <c r="G19" s="167">
        <f t="shared" si="4"/>
        <v>0</v>
      </c>
      <c r="H19" s="168" t="str">
        <f t="shared" si="0"/>
        <v/>
      </c>
      <c r="I19" s="9"/>
      <c r="J19" s="35"/>
      <c r="K19" s="22"/>
      <c r="L19" s="22"/>
      <c r="M19" s="48"/>
      <c r="N19" s="23"/>
      <c r="O19" s="169">
        <f t="shared" si="1"/>
        <v>0</v>
      </c>
      <c r="P19" s="170">
        <f t="shared" si="2"/>
        <v>0</v>
      </c>
      <c r="Q19" s="225"/>
    </row>
    <row r="20" spans="1:17" x14ac:dyDescent="0.25">
      <c r="A20" s="5">
        <v>8</v>
      </c>
      <c r="B20" s="4" t="s">
        <v>267</v>
      </c>
      <c r="C20" s="7">
        <v>1</v>
      </c>
      <c r="D20" s="6">
        <f>IF('שאלון למילוי מגיש הבקשה - חובה'!$G$33&lt;31,3000,IF('שאלון למילוי מגיש הבקשה - חובה'!$G$33&lt;61,5000,9000))</f>
        <v>3000</v>
      </c>
      <c r="E20" s="167">
        <f t="shared" si="3"/>
        <v>3000</v>
      </c>
      <c r="F20" s="8"/>
      <c r="G20" s="167">
        <f t="shared" si="4"/>
        <v>0</v>
      </c>
      <c r="H20" s="168" t="str">
        <f t="shared" si="0"/>
        <v/>
      </c>
      <c r="I20" s="9"/>
      <c r="J20" s="35"/>
      <c r="K20" s="22"/>
      <c r="L20" s="22"/>
      <c r="M20" s="48"/>
      <c r="N20" s="23"/>
      <c r="O20" s="169">
        <f t="shared" si="1"/>
        <v>0</v>
      </c>
      <c r="P20" s="170">
        <f t="shared" si="2"/>
        <v>0</v>
      </c>
      <c r="Q20" s="225"/>
    </row>
    <row r="21" spans="1:17" x14ac:dyDescent="0.25">
      <c r="A21" s="5">
        <v>9</v>
      </c>
      <c r="B21" s="4" t="s">
        <v>2</v>
      </c>
      <c r="C21" s="7">
        <v>1</v>
      </c>
      <c r="D21" s="7">
        <v>3000</v>
      </c>
      <c r="E21" s="167">
        <f t="shared" si="3"/>
        <v>3000</v>
      </c>
      <c r="F21" s="8"/>
      <c r="G21" s="167">
        <f t="shared" si="4"/>
        <v>0</v>
      </c>
      <c r="H21" s="168" t="str">
        <f t="shared" si="0"/>
        <v/>
      </c>
      <c r="I21" s="9"/>
      <c r="J21" s="35"/>
      <c r="K21" s="22"/>
      <c r="L21" s="22"/>
      <c r="M21" s="48"/>
      <c r="N21" s="23"/>
      <c r="O21" s="169">
        <f t="shared" si="1"/>
        <v>0</v>
      </c>
      <c r="P21" s="170">
        <f t="shared" si="2"/>
        <v>0</v>
      </c>
      <c r="Q21" s="225"/>
    </row>
    <row r="22" spans="1:17" x14ac:dyDescent="0.25">
      <c r="A22" s="5">
        <v>10</v>
      </c>
      <c r="B22" s="30" t="s">
        <v>268</v>
      </c>
      <c r="C22" s="6">
        <f>IF('שאלון למילוי מגיש הבקשה - חובה'!$G$33&lt;31,1,IF('שאלון למילוי מגיש הבקשה - חובה'!$G$33&lt;61,2,3))</f>
        <v>1</v>
      </c>
      <c r="D22" s="7">
        <v>3500</v>
      </c>
      <c r="E22" s="167">
        <f t="shared" si="3"/>
        <v>3500</v>
      </c>
      <c r="F22" s="8"/>
      <c r="G22" s="167">
        <f t="shared" si="4"/>
        <v>0</v>
      </c>
      <c r="H22" s="168" t="str">
        <f t="shared" si="0"/>
        <v/>
      </c>
      <c r="I22" s="9"/>
      <c r="J22" s="35"/>
      <c r="K22" s="22"/>
      <c r="L22" s="22"/>
      <c r="M22" s="48"/>
      <c r="N22" s="23"/>
      <c r="O22" s="169">
        <f t="shared" si="1"/>
        <v>0</v>
      </c>
      <c r="P22" s="170">
        <f t="shared" si="2"/>
        <v>0</v>
      </c>
      <c r="Q22" s="225"/>
    </row>
    <row r="23" spans="1:17" x14ac:dyDescent="0.25">
      <c r="A23" s="5">
        <v>11</v>
      </c>
      <c r="B23" s="4" t="s">
        <v>269</v>
      </c>
      <c r="C23" s="6">
        <f>IF('שאלון למילוי מגיש הבקשה - חובה'!$G$33&lt;31,1,IF('שאלון למילוי מגיש הבקשה - חובה'!$G$33&lt;61,2,3))</f>
        <v>1</v>
      </c>
      <c r="D23" s="7">
        <v>2000</v>
      </c>
      <c r="E23" s="167">
        <f t="shared" si="3"/>
        <v>2000</v>
      </c>
      <c r="F23" s="8"/>
      <c r="G23" s="167">
        <f t="shared" si="4"/>
        <v>0</v>
      </c>
      <c r="H23" s="168" t="str">
        <f t="shared" si="0"/>
        <v/>
      </c>
      <c r="I23" s="9"/>
      <c r="J23" s="35"/>
      <c r="K23" s="22"/>
      <c r="L23" s="22"/>
      <c r="M23" s="48"/>
      <c r="N23" s="23"/>
      <c r="O23" s="169">
        <f t="shared" si="1"/>
        <v>0</v>
      </c>
      <c r="P23" s="170">
        <f t="shared" si="2"/>
        <v>0</v>
      </c>
      <c r="Q23" s="225"/>
    </row>
    <row r="24" spans="1:17" x14ac:dyDescent="0.25">
      <c r="A24" s="5">
        <v>12</v>
      </c>
      <c r="B24" s="4" t="s">
        <v>276</v>
      </c>
      <c r="C24" s="7">
        <v>1</v>
      </c>
      <c r="D24" s="6">
        <f>IF('שאלון למילוי מגיש הבקשה - חובה'!$G$33&lt;31,2000,IF('שאלון למילוי מגיש הבקשה - חובה'!$G$33&lt;61,2500,3500))</f>
        <v>2000</v>
      </c>
      <c r="E24" s="167">
        <f t="shared" si="3"/>
        <v>2000</v>
      </c>
      <c r="F24" s="8"/>
      <c r="G24" s="167">
        <f t="shared" si="4"/>
        <v>0</v>
      </c>
      <c r="H24" s="168" t="str">
        <f t="shared" si="0"/>
        <v/>
      </c>
      <c r="I24" s="9"/>
      <c r="J24" s="35"/>
      <c r="K24" s="22"/>
      <c r="L24" s="22"/>
      <c r="M24" s="48"/>
      <c r="N24" s="23"/>
      <c r="O24" s="169">
        <f t="shared" si="1"/>
        <v>0</v>
      </c>
      <c r="P24" s="170">
        <f t="shared" si="2"/>
        <v>0</v>
      </c>
      <c r="Q24" s="225"/>
    </row>
    <row r="25" spans="1:17" x14ac:dyDescent="0.25">
      <c r="A25" s="5">
        <v>13</v>
      </c>
      <c r="B25" s="4" t="s">
        <v>270</v>
      </c>
      <c r="C25" s="6">
        <f>IF('שאלון למילוי מגיש הבקשה - חובה'!$G$33&lt;31,1,IF('שאלון למילוי מגיש הבקשה - חובה'!$G$33&lt;61,2,3))</f>
        <v>1</v>
      </c>
      <c r="D25" s="7">
        <v>15000</v>
      </c>
      <c r="E25" s="167">
        <f t="shared" si="3"/>
        <v>15000</v>
      </c>
      <c r="F25" s="8"/>
      <c r="G25" s="167">
        <f t="shared" si="4"/>
        <v>0</v>
      </c>
      <c r="H25" s="168" t="str">
        <f t="shared" si="0"/>
        <v/>
      </c>
      <c r="I25" s="9"/>
      <c r="J25" s="35"/>
      <c r="K25" s="22"/>
      <c r="L25" s="22"/>
      <c r="M25" s="48"/>
      <c r="N25" s="23"/>
      <c r="O25" s="169">
        <f t="shared" si="1"/>
        <v>0</v>
      </c>
      <c r="P25" s="170">
        <f t="shared" si="2"/>
        <v>0</v>
      </c>
      <c r="Q25" s="225"/>
    </row>
    <row r="26" spans="1:17" x14ac:dyDescent="0.25">
      <c r="A26" s="5">
        <v>14</v>
      </c>
      <c r="B26" s="4" t="s">
        <v>158</v>
      </c>
      <c r="C26" s="7">
        <v>1</v>
      </c>
      <c r="D26" s="6">
        <f>'שאלון למילוי מגיש הבקשה - חובה'!$G$33*200</f>
        <v>0</v>
      </c>
      <c r="E26" s="167">
        <f t="shared" si="3"/>
        <v>0</v>
      </c>
      <c r="F26" s="8"/>
      <c r="G26" s="167">
        <f t="shared" si="4"/>
        <v>0</v>
      </c>
      <c r="H26" s="168" t="str">
        <f t="shared" si="0"/>
        <v/>
      </c>
      <c r="I26" s="9"/>
      <c r="J26" s="35"/>
      <c r="K26" s="22"/>
      <c r="L26" s="22"/>
      <c r="M26" s="48"/>
      <c r="N26" s="23"/>
      <c r="O26" s="169">
        <f t="shared" si="1"/>
        <v>0</v>
      </c>
      <c r="P26" s="170">
        <f t="shared" si="2"/>
        <v>0</v>
      </c>
      <c r="Q26" s="225"/>
    </row>
    <row r="27" spans="1:17" x14ac:dyDescent="0.25">
      <c r="A27" s="5">
        <v>15</v>
      </c>
      <c r="B27" s="4" t="s">
        <v>271</v>
      </c>
      <c r="C27" s="6">
        <f>IF('שאלון למילוי מגיש הבקשה - חובה'!$G$33&lt;31,1,IF('שאלון למילוי מגיש הבקשה - חובה'!$G$33&lt;61,2,3))</f>
        <v>1</v>
      </c>
      <c r="D27" s="7">
        <v>4000</v>
      </c>
      <c r="E27" s="167">
        <f t="shared" si="3"/>
        <v>4000</v>
      </c>
      <c r="F27" s="8"/>
      <c r="G27" s="167">
        <f t="shared" si="4"/>
        <v>0</v>
      </c>
      <c r="H27" s="168" t="str">
        <f t="shared" si="0"/>
        <v/>
      </c>
      <c r="I27" s="9"/>
      <c r="J27" s="35"/>
      <c r="K27" s="22"/>
      <c r="L27" s="22"/>
      <c r="M27" s="48"/>
      <c r="N27" s="23"/>
      <c r="O27" s="169">
        <f t="shared" si="1"/>
        <v>0</v>
      </c>
      <c r="P27" s="170">
        <f t="shared" si="2"/>
        <v>0</v>
      </c>
      <c r="Q27" s="225"/>
    </row>
    <row r="28" spans="1:17" x14ac:dyDescent="0.25">
      <c r="A28" s="5"/>
      <c r="B28" s="4" t="s">
        <v>131</v>
      </c>
      <c r="C28" s="7"/>
      <c r="D28" s="7"/>
      <c r="E28" s="167">
        <f>SUM(E13:E27)</f>
        <v>97500</v>
      </c>
      <c r="F28" s="167"/>
      <c r="G28" s="167">
        <f>SUM(G13:G27)</f>
        <v>0</v>
      </c>
      <c r="H28" s="167"/>
      <c r="I28" s="167"/>
      <c r="J28" s="167">
        <f>SUM(J13:J27)</f>
        <v>0</v>
      </c>
      <c r="K28" s="10"/>
      <c r="L28" s="11"/>
      <c r="M28" s="96"/>
      <c r="N28" s="167">
        <f t="shared" ref="N28:O28" si="5">SUM(N13:N27)</f>
        <v>0</v>
      </c>
      <c r="O28" s="169">
        <f t="shared" si="5"/>
        <v>0</v>
      </c>
      <c r="P28" s="170">
        <f t="shared" si="2"/>
        <v>0</v>
      </c>
      <c r="Q28" s="96"/>
    </row>
    <row r="29" spans="1:17" x14ac:dyDescent="0.25">
      <c r="A29" s="13"/>
      <c r="B29" s="79" t="s">
        <v>296</v>
      </c>
      <c r="C29" s="15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1:17" s="161" customFormat="1" ht="17.399999999999999" x14ac:dyDescent="0.3">
      <c r="A30" s="157"/>
      <c r="B30" s="147"/>
      <c r="C30" s="158" t="s">
        <v>318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60"/>
      <c r="Q30" s="28"/>
    </row>
    <row r="31" spans="1:17" ht="17.399999999999999" x14ac:dyDescent="0.3">
      <c r="A31" s="27" t="s">
        <v>109</v>
      </c>
      <c r="B31" s="92" t="s">
        <v>324</v>
      </c>
      <c r="C31" s="93"/>
      <c r="D31" s="93"/>
      <c r="E31" s="2"/>
      <c r="F31" s="3" t="s">
        <v>130</v>
      </c>
      <c r="G31" s="93"/>
      <c r="H31" s="1"/>
      <c r="I31" s="2"/>
      <c r="J31" s="162" t="s">
        <v>204</v>
      </c>
      <c r="K31" s="3" t="s">
        <v>178</v>
      </c>
      <c r="L31" s="1"/>
      <c r="M31" s="163"/>
      <c r="N31" s="1"/>
      <c r="O31" s="164"/>
      <c r="P31" s="1"/>
      <c r="Q31" s="2"/>
    </row>
    <row r="32" spans="1:17" ht="55.2" x14ac:dyDescent="0.25">
      <c r="A32" s="4" t="s">
        <v>97</v>
      </c>
      <c r="B32" s="4" t="s">
        <v>98</v>
      </c>
      <c r="C32" s="4" t="s">
        <v>199</v>
      </c>
      <c r="D32" s="4" t="s">
        <v>201</v>
      </c>
      <c r="E32" s="4" t="s">
        <v>200</v>
      </c>
      <c r="F32" s="4" t="s">
        <v>136</v>
      </c>
      <c r="G32" s="4" t="s">
        <v>202</v>
      </c>
      <c r="H32" s="4" t="s">
        <v>161</v>
      </c>
      <c r="I32" s="4" t="s">
        <v>162</v>
      </c>
      <c r="J32" s="165" t="s">
        <v>203</v>
      </c>
      <c r="K32" s="165" t="s">
        <v>89</v>
      </c>
      <c r="L32" s="165" t="s">
        <v>90</v>
      </c>
      <c r="M32" s="165" t="s">
        <v>91</v>
      </c>
      <c r="N32" s="165" t="s">
        <v>95</v>
      </c>
      <c r="O32" s="166" t="s">
        <v>92</v>
      </c>
      <c r="P32" s="165" t="s">
        <v>93</v>
      </c>
      <c r="Q32" s="165" t="s">
        <v>13</v>
      </c>
    </row>
    <row r="33" spans="1:17" x14ac:dyDescent="0.25">
      <c r="A33" s="5">
        <v>1</v>
      </c>
      <c r="B33" s="4" t="s">
        <v>111</v>
      </c>
      <c r="C33" s="94">
        <v>3</v>
      </c>
      <c r="D33" s="95">
        <v>10000</v>
      </c>
      <c r="E33" s="167">
        <f>C33*D33</f>
        <v>30000</v>
      </c>
      <c r="F33" s="8"/>
      <c r="G33" s="167">
        <f t="shared" ref="G33:G58" si="6">D33*F33</f>
        <v>0</v>
      </c>
      <c r="H33" s="168" t="str">
        <f t="shared" ref="H33:H58" si="7">IF(F33&gt;C33,"נא להסביר חריגה","")</f>
        <v/>
      </c>
      <c r="I33" s="9"/>
      <c r="J33" s="35"/>
      <c r="K33" s="22"/>
      <c r="L33" s="22"/>
      <c r="M33" s="48"/>
      <c r="N33" s="23"/>
      <c r="O33" s="169">
        <f>IF(N33="",0,N33-G33)</f>
        <v>0</v>
      </c>
      <c r="P33" s="170">
        <f t="shared" ref="P33:P59" si="8">IF(G33=0,0,O33/G33)</f>
        <v>0</v>
      </c>
      <c r="Q33" s="225"/>
    </row>
    <row r="34" spans="1:17" x14ac:dyDescent="0.25">
      <c r="A34" s="5">
        <v>2</v>
      </c>
      <c r="B34" s="4" t="s">
        <v>112</v>
      </c>
      <c r="C34" s="94">
        <v>2</v>
      </c>
      <c r="D34" s="95">
        <v>10000</v>
      </c>
      <c r="E34" s="167">
        <f t="shared" ref="E34:E58" si="9">C34*D34</f>
        <v>20000</v>
      </c>
      <c r="F34" s="8"/>
      <c r="G34" s="167">
        <f t="shared" si="6"/>
        <v>0</v>
      </c>
      <c r="H34" s="168" t="str">
        <f t="shared" si="7"/>
        <v/>
      </c>
      <c r="I34" s="9"/>
      <c r="J34" s="35"/>
      <c r="K34" s="22"/>
      <c r="L34" s="22"/>
      <c r="M34" s="48"/>
      <c r="N34" s="23"/>
      <c r="O34" s="169">
        <f t="shared" ref="O34:O58" si="10">IF(N34="",0,N34-G34)</f>
        <v>0</v>
      </c>
      <c r="P34" s="170">
        <f t="shared" si="8"/>
        <v>0</v>
      </c>
      <c r="Q34" s="225"/>
    </row>
    <row r="35" spans="1:17" x14ac:dyDescent="0.25">
      <c r="A35" s="5">
        <v>3</v>
      </c>
      <c r="B35" s="4" t="s">
        <v>113</v>
      </c>
      <c r="C35" s="94">
        <v>1</v>
      </c>
      <c r="D35" s="95">
        <v>10000</v>
      </c>
      <c r="E35" s="167">
        <f t="shared" si="9"/>
        <v>10000</v>
      </c>
      <c r="F35" s="8"/>
      <c r="G35" s="167">
        <f t="shared" si="6"/>
        <v>0</v>
      </c>
      <c r="H35" s="168" t="str">
        <f t="shared" si="7"/>
        <v/>
      </c>
      <c r="I35" s="9"/>
      <c r="J35" s="35"/>
      <c r="K35" s="22"/>
      <c r="L35" s="22"/>
      <c r="M35" s="48"/>
      <c r="N35" s="23"/>
      <c r="O35" s="169">
        <f t="shared" si="10"/>
        <v>0</v>
      </c>
      <c r="P35" s="170">
        <f t="shared" si="8"/>
        <v>0</v>
      </c>
      <c r="Q35" s="225"/>
    </row>
    <row r="36" spans="1:17" x14ac:dyDescent="0.25">
      <c r="A36" s="5">
        <v>4</v>
      </c>
      <c r="B36" s="4" t="s">
        <v>114</v>
      </c>
      <c r="C36" s="94">
        <v>1</v>
      </c>
      <c r="D36" s="95">
        <v>8000</v>
      </c>
      <c r="E36" s="167">
        <f t="shared" si="9"/>
        <v>8000</v>
      </c>
      <c r="F36" s="8"/>
      <c r="G36" s="167">
        <f t="shared" si="6"/>
        <v>0</v>
      </c>
      <c r="H36" s="168" t="str">
        <f t="shared" si="7"/>
        <v/>
      </c>
      <c r="I36" s="9"/>
      <c r="J36" s="35"/>
      <c r="K36" s="22"/>
      <c r="L36" s="22"/>
      <c r="M36" s="48"/>
      <c r="N36" s="23"/>
      <c r="O36" s="169">
        <f t="shared" si="10"/>
        <v>0</v>
      </c>
      <c r="P36" s="170">
        <f t="shared" si="8"/>
        <v>0</v>
      </c>
      <c r="Q36" s="225"/>
    </row>
    <row r="37" spans="1:17" x14ac:dyDescent="0.25">
      <c r="A37" s="5">
        <v>5</v>
      </c>
      <c r="B37" s="4" t="s">
        <v>272</v>
      </c>
      <c r="C37" s="94">
        <v>1</v>
      </c>
      <c r="D37" s="6">
        <f>IF('שאלון למילוי מגיש הבקשה - חובה'!$G$33&lt;31,12000,IF('שאלון למילוי מגיש הבקשה - חובה'!$G$33&lt;61,18000,30000))</f>
        <v>12000</v>
      </c>
      <c r="E37" s="167">
        <f t="shared" si="9"/>
        <v>12000</v>
      </c>
      <c r="F37" s="8"/>
      <c r="G37" s="167">
        <f t="shared" si="6"/>
        <v>0</v>
      </c>
      <c r="H37" s="168" t="str">
        <f t="shared" si="7"/>
        <v/>
      </c>
      <c r="I37" s="9"/>
      <c r="J37" s="35"/>
      <c r="K37" s="22"/>
      <c r="L37" s="22"/>
      <c r="M37" s="48"/>
      <c r="N37" s="23"/>
      <c r="O37" s="169">
        <f t="shared" si="10"/>
        <v>0</v>
      </c>
      <c r="P37" s="170">
        <f t="shared" si="8"/>
        <v>0</v>
      </c>
      <c r="Q37" s="225"/>
    </row>
    <row r="38" spans="1:17" x14ac:dyDescent="0.25">
      <c r="A38" s="5">
        <v>6</v>
      </c>
      <c r="B38" s="4" t="s">
        <v>159</v>
      </c>
      <c r="C38" s="94">
        <v>1</v>
      </c>
      <c r="D38" s="95">
        <v>5000</v>
      </c>
      <c r="E38" s="167">
        <f t="shared" si="9"/>
        <v>5000</v>
      </c>
      <c r="F38" s="8"/>
      <c r="G38" s="167">
        <f t="shared" si="6"/>
        <v>0</v>
      </c>
      <c r="H38" s="168" t="str">
        <f t="shared" si="7"/>
        <v/>
      </c>
      <c r="I38" s="9"/>
      <c r="J38" s="35"/>
      <c r="K38" s="22"/>
      <c r="L38" s="22"/>
      <c r="M38" s="48"/>
      <c r="N38" s="23"/>
      <c r="O38" s="169">
        <f t="shared" si="10"/>
        <v>0</v>
      </c>
      <c r="P38" s="170">
        <f t="shared" si="8"/>
        <v>0</v>
      </c>
      <c r="Q38" s="225"/>
    </row>
    <row r="39" spans="1:17" x14ac:dyDescent="0.25">
      <c r="A39" s="5">
        <v>7</v>
      </c>
      <c r="B39" s="4" t="s">
        <v>301</v>
      </c>
      <c r="C39" s="94">
        <v>1</v>
      </c>
      <c r="D39" s="6">
        <f>IF('שאלון למילוי מגיש הבקשה - חובה'!$G$33&lt;31,8000,IF('שאלון למילוי מגיש הבקשה - חובה'!$G$33&lt;61,15000,25000))</f>
        <v>8000</v>
      </c>
      <c r="E39" s="167">
        <f t="shared" si="9"/>
        <v>8000</v>
      </c>
      <c r="F39" s="8"/>
      <c r="G39" s="167">
        <f t="shared" si="6"/>
        <v>0</v>
      </c>
      <c r="H39" s="168" t="str">
        <f t="shared" si="7"/>
        <v/>
      </c>
      <c r="I39" s="9"/>
      <c r="J39" s="35"/>
      <c r="K39" s="22"/>
      <c r="L39" s="22"/>
      <c r="M39" s="48"/>
      <c r="N39" s="23"/>
      <c r="O39" s="169">
        <f t="shared" si="10"/>
        <v>0</v>
      </c>
      <c r="P39" s="170">
        <f t="shared" si="8"/>
        <v>0</v>
      </c>
      <c r="Q39" s="225"/>
    </row>
    <row r="40" spans="1:17" x14ac:dyDescent="0.25">
      <c r="A40" s="5">
        <v>8</v>
      </c>
      <c r="B40" s="4" t="s">
        <v>274</v>
      </c>
      <c r="C40" s="94">
        <v>1</v>
      </c>
      <c r="D40" s="6">
        <f>IF('שאלון למילוי מגיש הבקשה - חובה'!$G$33&lt;31,25000,IF('שאלון למילוי מגיש הבקשה - חובה'!$G$33&lt;61,35000,50000))</f>
        <v>25000</v>
      </c>
      <c r="E40" s="167">
        <f t="shared" si="9"/>
        <v>25000</v>
      </c>
      <c r="F40" s="8"/>
      <c r="G40" s="167">
        <f t="shared" si="6"/>
        <v>0</v>
      </c>
      <c r="H40" s="168" t="str">
        <f t="shared" si="7"/>
        <v/>
      </c>
      <c r="I40" s="9"/>
      <c r="J40" s="35"/>
      <c r="K40" s="22"/>
      <c r="L40" s="22"/>
      <c r="M40" s="48"/>
      <c r="N40" s="23"/>
      <c r="O40" s="169">
        <f t="shared" si="10"/>
        <v>0</v>
      </c>
      <c r="P40" s="170">
        <f t="shared" si="8"/>
        <v>0</v>
      </c>
      <c r="Q40" s="225"/>
    </row>
    <row r="41" spans="1:17" x14ac:dyDescent="0.25">
      <c r="A41" s="5">
        <v>9</v>
      </c>
      <c r="B41" s="4" t="s">
        <v>267</v>
      </c>
      <c r="C41" s="96">
        <v>1</v>
      </c>
      <c r="D41" s="6">
        <f>IF('שאלון למילוי מגיש הבקשה - חובה'!$G$33&lt;31,3000,IF('שאלון למילוי מגיש הבקשה - חובה'!$G$33&lt;61,5000,9000))</f>
        <v>3000</v>
      </c>
      <c r="E41" s="167">
        <f t="shared" si="9"/>
        <v>3000</v>
      </c>
      <c r="F41" s="8"/>
      <c r="G41" s="167">
        <f t="shared" si="6"/>
        <v>0</v>
      </c>
      <c r="H41" s="168" t="str">
        <f t="shared" si="7"/>
        <v/>
      </c>
      <c r="I41" s="9"/>
      <c r="J41" s="35"/>
      <c r="K41" s="22"/>
      <c r="L41" s="22"/>
      <c r="M41" s="48"/>
      <c r="N41" s="23"/>
      <c r="O41" s="169">
        <f t="shared" si="10"/>
        <v>0</v>
      </c>
      <c r="P41" s="170">
        <f t="shared" si="8"/>
        <v>0</v>
      </c>
      <c r="Q41" s="225"/>
    </row>
    <row r="42" spans="1:17" x14ac:dyDescent="0.25">
      <c r="A42" s="5">
        <v>10</v>
      </c>
      <c r="B42" s="4" t="s">
        <v>115</v>
      </c>
      <c r="C42" s="96">
        <v>1</v>
      </c>
      <c r="D42" s="95">
        <v>6500</v>
      </c>
      <c r="E42" s="167">
        <f t="shared" si="9"/>
        <v>6500</v>
      </c>
      <c r="F42" s="8"/>
      <c r="G42" s="167">
        <f t="shared" si="6"/>
        <v>0</v>
      </c>
      <c r="H42" s="168" t="str">
        <f t="shared" si="7"/>
        <v/>
      </c>
      <c r="I42" s="9"/>
      <c r="J42" s="35"/>
      <c r="K42" s="22"/>
      <c r="L42" s="22"/>
      <c r="M42" s="48"/>
      <c r="N42" s="23"/>
      <c r="O42" s="169">
        <f t="shared" si="10"/>
        <v>0</v>
      </c>
      <c r="P42" s="170">
        <f t="shared" si="8"/>
        <v>0</v>
      </c>
      <c r="Q42" s="225"/>
    </row>
    <row r="43" spans="1:17" x14ac:dyDescent="0.25">
      <c r="A43" s="5">
        <v>11</v>
      </c>
      <c r="B43" s="4" t="s">
        <v>116</v>
      </c>
      <c r="C43" s="96">
        <v>1</v>
      </c>
      <c r="D43" s="95">
        <v>8000</v>
      </c>
      <c r="E43" s="167">
        <f t="shared" si="9"/>
        <v>8000</v>
      </c>
      <c r="F43" s="8"/>
      <c r="G43" s="167">
        <f t="shared" si="6"/>
        <v>0</v>
      </c>
      <c r="H43" s="168" t="str">
        <f t="shared" si="7"/>
        <v/>
      </c>
      <c r="I43" s="9"/>
      <c r="J43" s="35"/>
      <c r="K43" s="22"/>
      <c r="L43" s="22"/>
      <c r="M43" s="48"/>
      <c r="N43" s="23"/>
      <c r="O43" s="169">
        <f t="shared" si="10"/>
        <v>0</v>
      </c>
      <c r="P43" s="170">
        <f t="shared" si="8"/>
        <v>0</v>
      </c>
      <c r="Q43" s="225"/>
    </row>
    <row r="44" spans="1:17" x14ac:dyDescent="0.25">
      <c r="A44" s="5">
        <v>12</v>
      </c>
      <c r="B44" s="4" t="s">
        <v>117</v>
      </c>
      <c r="C44" s="96">
        <v>4</v>
      </c>
      <c r="D44" s="95">
        <v>2000</v>
      </c>
      <c r="E44" s="167">
        <f t="shared" si="9"/>
        <v>8000</v>
      </c>
      <c r="F44" s="8"/>
      <c r="G44" s="167">
        <f t="shared" si="6"/>
        <v>0</v>
      </c>
      <c r="H44" s="168" t="str">
        <f t="shared" si="7"/>
        <v/>
      </c>
      <c r="I44" s="9"/>
      <c r="J44" s="35"/>
      <c r="K44" s="22"/>
      <c r="L44" s="22"/>
      <c r="M44" s="48"/>
      <c r="N44" s="23"/>
      <c r="O44" s="169">
        <f t="shared" si="10"/>
        <v>0</v>
      </c>
      <c r="P44" s="170">
        <f t="shared" si="8"/>
        <v>0</v>
      </c>
      <c r="Q44" s="225"/>
    </row>
    <row r="45" spans="1:17" x14ac:dyDescent="0.25">
      <c r="A45" s="5">
        <v>13</v>
      </c>
      <c r="B45" s="4" t="s">
        <v>118</v>
      </c>
      <c r="C45" s="96">
        <v>3</v>
      </c>
      <c r="D45" s="95">
        <v>5000</v>
      </c>
      <c r="E45" s="167">
        <f t="shared" si="9"/>
        <v>15000</v>
      </c>
      <c r="F45" s="8"/>
      <c r="G45" s="167">
        <f t="shared" si="6"/>
        <v>0</v>
      </c>
      <c r="H45" s="168" t="str">
        <f t="shared" si="7"/>
        <v/>
      </c>
      <c r="I45" s="9"/>
      <c r="J45" s="35"/>
      <c r="K45" s="22"/>
      <c r="L45" s="22"/>
      <c r="M45" s="48"/>
      <c r="N45" s="23"/>
      <c r="O45" s="169">
        <f t="shared" si="10"/>
        <v>0</v>
      </c>
      <c r="P45" s="170">
        <f t="shared" si="8"/>
        <v>0</v>
      </c>
      <c r="Q45" s="225"/>
    </row>
    <row r="46" spans="1:17" x14ac:dyDescent="0.25">
      <c r="A46" s="5">
        <v>14</v>
      </c>
      <c r="B46" s="4" t="s">
        <v>119</v>
      </c>
      <c r="C46" s="96">
        <v>1</v>
      </c>
      <c r="D46" s="7">
        <v>3000</v>
      </c>
      <c r="E46" s="167">
        <f t="shared" si="9"/>
        <v>3000</v>
      </c>
      <c r="F46" s="8"/>
      <c r="G46" s="167">
        <f t="shared" si="6"/>
        <v>0</v>
      </c>
      <c r="H46" s="168" t="str">
        <f t="shared" si="7"/>
        <v/>
      </c>
      <c r="I46" s="9"/>
      <c r="J46" s="35"/>
      <c r="K46" s="22"/>
      <c r="L46" s="22"/>
      <c r="M46" s="48"/>
      <c r="N46" s="23"/>
      <c r="O46" s="169">
        <f t="shared" si="10"/>
        <v>0</v>
      </c>
      <c r="P46" s="170">
        <f t="shared" si="8"/>
        <v>0</v>
      </c>
      <c r="Q46" s="225"/>
    </row>
    <row r="47" spans="1:17" x14ac:dyDescent="0.25">
      <c r="A47" s="5">
        <v>15</v>
      </c>
      <c r="B47" s="4" t="s">
        <v>120</v>
      </c>
      <c r="C47" s="96">
        <v>1</v>
      </c>
      <c r="D47" s="95">
        <v>22000</v>
      </c>
      <c r="E47" s="167">
        <f t="shared" si="9"/>
        <v>22000</v>
      </c>
      <c r="F47" s="8"/>
      <c r="G47" s="167">
        <f t="shared" si="6"/>
        <v>0</v>
      </c>
      <c r="H47" s="168" t="str">
        <f t="shared" si="7"/>
        <v/>
      </c>
      <c r="I47" s="9"/>
      <c r="J47" s="35"/>
      <c r="K47" s="22"/>
      <c r="L47" s="22"/>
      <c r="M47" s="48"/>
      <c r="N47" s="23"/>
      <c r="O47" s="169">
        <f t="shared" si="10"/>
        <v>0</v>
      </c>
      <c r="P47" s="170">
        <f t="shared" si="8"/>
        <v>0</v>
      </c>
      <c r="Q47" s="225"/>
    </row>
    <row r="48" spans="1:17" x14ac:dyDescent="0.25">
      <c r="A48" s="5">
        <v>16</v>
      </c>
      <c r="B48" s="4" t="s">
        <v>121</v>
      </c>
      <c r="C48" s="96">
        <v>1</v>
      </c>
      <c r="D48" s="95">
        <v>10000</v>
      </c>
      <c r="E48" s="167">
        <f t="shared" si="9"/>
        <v>10000</v>
      </c>
      <c r="F48" s="8"/>
      <c r="G48" s="167">
        <f t="shared" si="6"/>
        <v>0</v>
      </c>
      <c r="H48" s="168" t="str">
        <f t="shared" si="7"/>
        <v/>
      </c>
      <c r="I48" s="9"/>
      <c r="J48" s="35"/>
      <c r="K48" s="22"/>
      <c r="L48" s="22"/>
      <c r="M48" s="48"/>
      <c r="N48" s="23"/>
      <c r="O48" s="169">
        <f t="shared" si="10"/>
        <v>0</v>
      </c>
      <c r="P48" s="170">
        <f t="shared" si="8"/>
        <v>0</v>
      </c>
      <c r="Q48" s="225"/>
    </row>
    <row r="49" spans="1:17" x14ac:dyDescent="0.25">
      <c r="A49" s="5">
        <v>17</v>
      </c>
      <c r="B49" s="4" t="s">
        <v>122</v>
      </c>
      <c r="C49" s="96">
        <v>2</v>
      </c>
      <c r="D49" s="95">
        <v>2000</v>
      </c>
      <c r="E49" s="167">
        <f t="shared" si="9"/>
        <v>4000</v>
      </c>
      <c r="F49" s="8"/>
      <c r="G49" s="167">
        <f t="shared" si="6"/>
        <v>0</v>
      </c>
      <c r="H49" s="168" t="str">
        <f t="shared" si="7"/>
        <v/>
      </c>
      <c r="I49" s="9"/>
      <c r="J49" s="35"/>
      <c r="K49" s="22"/>
      <c r="L49" s="22"/>
      <c r="M49" s="48"/>
      <c r="N49" s="23"/>
      <c r="O49" s="169">
        <f t="shared" si="10"/>
        <v>0</v>
      </c>
      <c r="P49" s="170">
        <f t="shared" si="8"/>
        <v>0</v>
      </c>
      <c r="Q49" s="225"/>
    </row>
    <row r="50" spans="1:17" x14ac:dyDescent="0.25">
      <c r="A50" s="5">
        <v>18</v>
      </c>
      <c r="B50" s="4" t="s">
        <v>123</v>
      </c>
      <c r="C50" s="96">
        <v>4</v>
      </c>
      <c r="D50" s="95">
        <v>500</v>
      </c>
      <c r="E50" s="167">
        <f t="shared" si="9"/>
        <v>2000</v>
      </c>
      <c r="F50" s="8"/>
      <c r="G50" s="167">
        <f t="shared" si="6"/>
        <v>0</v>
      </c>
      <c r="H50" s="168" t="str">
        <f t="shared" si="7"/>
        <v/>
      </c>
      <c r="I50" s="9"/>
      <c r="J50" s="35"/>
      <c r="K50" s="22"/>
      <c r="L50" s="22"/>
      <c r="M50" s="48"/>
      <c r="N50" s="23"/>
      <c r="O50" s="169">
        <f t="shared" si="10"/>
        <v>0</v>
      </c>
      <c r="P50" s="170">
        <f t="shared" si="8"/>
        <v>0</v>
      </c>
      <c r="Q50" s="225"/>
    </row>
    <row r="51" spans="1:17" x14ac:dyDescent="0.25">
      <c r="A51" s="5">
        <v>19</v>
      </c>
      <c r="B51" s="4" t="s">
        <v>124</v>
      </c>
      <c r="C51" s="96">
        <v>4</v>
      </c>
      <c r="D51" s="95">
        <v>2000</v>
      </c>
      <c r="E51" s="167">
        <f t="shared" si="9"/>
        <v>8000</v>
      </c>
      <c r="F51" s="8"/>
      <c r="G51" s="167">
        <f t="shared" si="6"/>
        <v>0</v>
      </c>
      <c r="H51" s="168" t="str">
        <f t="shared" si="7"/>
        <v/>
      </c>
      <c r="I51" s="9"/>
      <c r="J51" s="35"/>
      <c r="K51" s="22"/>
      <c r="L51" s="22"/>
      <c r="M51" s="48"/>
      <c r="N51" s="23"/>
      <c r="O51" s="169">
        <f t="shared" si="10"/>
        <v>0</v>
      </c>
      <c r="P51" s="170">
        <f t="shared" si="8"/>
        <v>0</v>
      </c>
      <c r="Q51" s="225"/>
    </row>
    <row r="52" spans="1:17" x14ac:dyDescent="0.25">
      <c r="A52" s="5">
        <v>20</v>
      </c>
      <c r="B52" s="24" t="s">
        <v>125</v>
      </c>
      <c r="C52" s="96">
        <v>2</v>
      </c>
      <c r="D52" s="95">
        <v>1500</v>
      </c>
      <c r="E52" s="167">
        <f t="shared" si="9"/>
        <v>3000</v>
      </c>
      <c r="F52" s="8"/>
      <c r="G52" s="167">
        <f t="shared" si="6"/>
        <v>0</v>
      </c>
      <c r="H52" s="168" t="str">
        <f t="shared" si="7"/>
        <v/>
      </c>
      <c r="I52" s="9"/>
      <c r="J52" s="35"/>
      <c r="K52" s="22"/>
      <c r="L52" s="22"/>
      <c r="M52" s="48"/>
      <c r="N52" s="23"/>
      <c r="O52" s="169">
        <f t="shared" si="10"/>
        <v>0</v>
      </c>
      <c r="P52" s="170">
        <f t="shared" si="8"/>
        <v>0</v>
      </c>
      <c r="Q52" s="225"/>
    </row>
    <row r="53" spans="1:17" x14ac:dyDescent="0.25">
      <c r="A53" s="5">
        <v>21</v>
      </c>
      <c r="B53" s="4" t="s">
        <v>269</v>
      </c>
      <c r="C53" s="111">
        <f>IF('שאלון למילוי מגיש הבקשה - חובה'!$G$33&lt;31,1,IF('שאלון למילוי מגיש הבקשה - חובה'!$G$33&lt;61,2,3))</f>
        <v>1</v>
      </c>
      <c r="D53" s="7">
        <v>2000</v>
      </c>
      <c r="E53" s="167">
        <f t="shared" si="9"/>
        <v>2000</v>
      </c>
      <c r="F53" s="8"/>
      <c r="G53" s="167">
        <f t="shared" si="6"/>
        <v>0</v>
      </c>
      <c r="H53" s="168" t="str">
        <f t="shared" si="7"/>
        <v/>
      </c>
      <c r="I53" s="9"/>
      <c r="J53" s="35"/>
      <c r="K53" s="22"/>
      <c r="L53" s="22"/>
      <c r="M53" s="48"/>
      <c r="N53" s="23"/>
      <c r="O53" s="169">
        <f t="shared" si="10"/>
        <v>0</v>
      </c>
      <c r="P53" s="170">
        <f t="shared" si="8"/>
        <v>0</v>
      </c>
      <c r="Q53" s="225"/>
    </row>
    <row r="54" spans="1:17" x14ac:dyDescent="0.25">
      <c r="A54" s="5">
        <v>22</v>
      </c>
      <c r="B54" s="4" t="s">
        <v>126</v>
      </c>
      <c r="C54" s="96">
        <v>3</v>
      </c>
      <c r="D54" s="95">
        <v>700</v>
      </c>
      <c r="E54" s="167">
        <f t="shared" si="9"/>
        <v>2100</v>
      </c>
      <c r="F54" s="8"/>
      <c r="G54" s="167">
        <f t="shared" si="6"/>
        <v>0</v>
      </c>
      <c r="H54" s="168" t="str">
        <f t="shared" si="7"/>
        <v/>
      </c>
      <c r="I54" s="9"/>
      <c r="J54" s="35"/>
      <c r="K54" s="22"/>
      <c r="L54" s="22"/>
      <c r="M54" s="48"/>
      <c r="N54" s="23"/>
      <c r="O54" s="169">
        <f t="shared" si="10"/>
        <v>0</v>
      </c>
      <c r="P54" s="170">
        <f t="shared" si="8"/>
        <v>0</v>
      </c>
      <c r="Q54" s="225"/>
    </row>
    <row r="55" spans="1:17" x14ac:dyDescent="0.25">
      <c r="A55" s="5">
        <v>23</v>
      </c>
      <c r="B55" s="4" t="s">
        <v>270</v>
      </c>
      <c r="C55" s="111">
        <f>IF('שאלון למילוי מגיש הבקשה - חובה'!$G$33&lt;31,1,IF('שאלון למילוי מגיש הבקשה - חובה'!$G$33&lt;61,2,3))</f>
        <v>1</v>
      </c>
      <c r="D55" s="7">
        <v>15000</v>
      </c>
      <c r="E55" s="167">
        <f t="shared" si="9"/>
        <v>15000</v>
      </c>
      <c r="F55" s="8"/>
      <c r="G55" s="167">
        <f t="shared" si="6"/>
        <v>0</v>
      </c>
      <c r="H55" s="168" t="str">
        <f t="shared" si="7"/>
        <v/>
      </c>
      <c r="I55" s="9"/>
      <c r="J55" s="35"/>
      <c r="K55" s="22"/>
      <c r="L55" s="22"/>
      <c r="M55" s="48"/>
      <c r="N55" s="23"/>
      <c r="O55" s="169">
        <f t="shared" si="10"/>
        <v>0</v>
      </c>
      <c r="P55" s="170">
        <f t="shared" si="8"/>
        <v>0</v>
      </c>
      <c r="Q55" s="225"/>
    </row>
    <row r="56" spans="1:17" x14ac:dyDescent="0.25">
      <c r="A56" s="5">
        <v>24</v>
      </c>
      <c r="B56" s="4" t="s">
        <v>127</v>
      </c>
      <c r="C56" s="96">
        <v>1</v>
      </c>
      <c r="D56" s="95">
        <v>5000</v>
      </c>
      <c r="E56" s="167">
        <f t="shared" si="9"/>
        <v>5000</v>
      </c>
      <c r="F56" s="8"/>
      <c r="G56" s="167">
        <f t="shared" si="6"/>
        <v>0</v>
      </c>
      <c r="H56" s="168" t="str">
        <f t="shared" si="7"/>
        <v/>
      </c>
      <c r="I56" s="9"/>
      <c r="J56" s="35"/>
      <c r="K56" s="22"/>
      <c r="L56" s="22"/>
      <c r="M56" s="48"/>
      <c r="N56" s="23"/>
      <c r="O56" s="169">
        <f t="shared" si="10"/>
        <v>0</v>
      </c>
      <c r="P56" s="170">
        <f t="shared" si="8"/>
        <v>0</v>
      </c>
      <c r="Q56" s="225"/>
    </row>
    <row r="57" spans="1:17" x14ac:dyDescent="0.25">
      <c r="A57" s="5">
        <v>25</v>
      </c>
      <c r="B57" s="4" t="s">
        <v>166</v>
      </c>
      <c r="C57" s="96">
        <v>1</v>
      </c>
      <c r="D57" s="6">
        <f>'שאלון למילוי מגיש הבקשה - חובה'!$G$33*400</f>
        <v>0</v>
      </c>
      <c r="E57" s="167">
        <f t="shared" si="9"/>
        <v>0</v>
      </c>
      <c r="F57" s="8"/>
      <c r="G57" s="167">
        <f t="shared" si="6"/>
        <v>0</v>
      </c>
      <c r="H57" s="168" t="str">
        <f t="shared" si="7"/>
        <v/>
      </c>
      <c r="I57" s="9"/>
      <c r="J57" s="35"/>
      <c r="K57" s="22"/>
      <c r="L57" s="22"/>
      <c r="M57" s="48"/>
      <c r="N57" s="23"/>
      <c r="O57" s="169">
        <f t="shared" si="10"/>
        <v>0</v>
      </c>
      <c r="P57" s="170">
        <f t="shared" si="8"/>
        <v>0</v>
      </c>
      <c r="Q57" s="225"/>
    </row>
    <row r="58" spans="1:17" x14ac:dyDescent="0.25">
      <c r="A58" s="5">
        <v>26</v>
      </c>
      <c r="B58" s="4" t="s">
        <v>128</v>
      </c>
      <c r="C58" s="97">
        <v>2</v>
      </c>
      <c r="D58" s="98">
        <v>4000</v>
      </c>
      <c r="E58" s="167">
        <f t="shared" si="9"/>
        <v>8000</v>
      </c>
      <c r="F58" s="8"/>
      <c r="G58" s="167">
        <f t="shared" si="6"/>
        <v>0</v>
      </c>
      <c r="H58" s="168" t="str">
        <f t="shared" si="7"/>
        <v/>
      </c>
      <c r="I58" s="9"/>
      <c r="J58" s="35"/>
      <c r="K58" s="22"/>
      <c r="L58" s="22"/>
      <c r="M58" s="48"/>
      <c r="N58" s="23"/>
      <c r="O58" s="169">
        <f t="shared" si="10"/>
        <v>0</v>
      </c>
      <c r="P58" s="170">
        <f t="shared" si="8"/>
        <v>0</v>
      </c>
      <c r="Q58" s="225"/>
    </row>
    <row r="59" spans="1:17" x14ac:dyDescent="0.25">
      <c r="A59" s="5"/>
      <c r="B59" s="31" t="s">
        <v>129</v>
      </c>
      <c r="C59" s="99"/>
      <c r="D59" s="100"/>
      <c r="E59" s="167">
        <f>SUM(E33:E58)</f>
        <v>242600</v>
      </c>
      <c r="F59" s="167"/>
      <c r="G59" s="167">
        <f>SUM(G33:G58)</f>
        <v>0</v>
      </c>
      <c r="H59" s="167"/>
      <c r="I59" s="167"/>
      <c r="J59" s="167">
        <f>SUM(J33:J58)</f>
        <v>0</v>
      </c>
      <c r="K59" s="10"/>
      <c r="L59" s="11"/>
      <c r="M59" s="96"/>
      <c r="N59" s="167">
        <f t="shared" ref="N59:O59" si="11">SUM(N33:N58)</f>
        <v>0</v>
      </c>
      <c r="O59" s="169">
        <f t="shared" si="11"/>
        <v>0</v>
      </c>
      <c r="P59" s="170">
        <f t="shared" si="8"/>
        <v>0</v>
      </c>
      <c r="Q59" s="96"/>
    </row>
    <row r="60" spans="1:17" x14ac:dyDescent="0.25">
      <c r="A60" s="13"/>
      <c r="B60" s="79"/>
      <c r="C60" s="15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1:17" x14ac:dyDescent="0.25">
      <c r="A61" s="29" t="s">
        <v>132</v>
      </c>
      <c r="B61" s="36" t="s">
        <v>101</v>
      </c>
      <c r="C61" s="93"/>
      <c r="D61" s="93"/>
      <c r="E61" s="2"/>
      <c r="F61" s="3" t="s">
        <v>102</v>
      </c>
      <c r="G61" s="93"/>
      <c r="H61" s="1"/>
      <c r="I61" s="2"/>
      <c r="J61" s="162" t="s">
        <v>204</v>
      </c>
      <c r="K61" s="3" t="s">
        <v>179</v>
      </c>
      <c r="L61" s="1"/>
      <c r="M61" s="163"/>
      <c r="N61" s="1"/>
      <c r="O61" s="164"/>
      <c r="P61" s="1"/>
      <c r="Q61" s="2"/>
    </row>
    <row r="62" spans="1:17" ht="55.2" x14ac:dyDescent="0.25">
      <c r="A62" s="4" t="s">
        <v>97</v>
      </c>
      <c r="B62" s="4" t="s">
        <v>98</v>
      </c>
      <c r="C62" s="4" t="s">
        <v>199</v>
      </c>
      <c r="D62" s="4" t="s">
        <v>201</v>
      </c>
      <c r="E62" s="4" t="s">
        <v>200</v>
      </c>
      <c r="F62" s="4" t="s">
        <v>136</v>
      </c>
      <c r="G62" s="4" t="s">
        <v>202</v>
      </c>
      <c r="H62" s="4" t="s">
        <v>161</v>
      </c>
      <c r="I62" s="4" t="s">
        <v>162</v>
      </c>
      <c r="J62" s="165" t="s">
        <v>203</v>
      </c>
      <c r="K62" s="165" t="s">
        <v>89</v>
      </c>
      <c r="L62" s="165" t="s">
        <v>90</v>
      </c>
      <c r="M62" s="165" t="s">
        <v>91</v>
      </c>
      <c r="N62" s="165" t="s">
        <v>95</v>
      </c>
      <c r="O62" s="166" t="s">
        <v>92</v>
      </c>
      <c r="P62" s="165" t="s">
        <v>93</v>
      </c>
      <c r="Q62" s="165" t="s">
        <v>13</v>
      </c>
    </row>
    <row r="63" spans="1:17" x14ac:dyDescent="0.25">
      <c r="A63" s="5">
        <v>1</v>
      </c>
      <c r="B63" s="38" t="s">
        <v>273</v>
      </c>
      <c r="C63" s="111">
        <f>'שאלון למילוי מגיש הבקשה - חובה'!$G$33</f>
        <v>0</v>
      </c>
      <c r="D63" s="18">
        <v>500</v>
      </c>
      <c r="E63" s="7">
        <f t="shared" ref="E63:E66" si="12">C63*D63</f>
        <v>0</v>
      </c>
      <c r="F63" s="8"/>
      <c r="G63" s="167">
        <f t="shared" ref="G63:G66" si="13">D63*F63</f>
        <v>0</v>
      </c>
      <c r="H63" s="168" t="str">
        <f>IF(F63&gt;C63,"נא להסביר חריגה","")</f>
        <v/>
      </c>
      <c r="I63" s="9"/>
      <c r="J63" s="35">
        <v>1</v>
      </c>
      <c r="K63" s="22"/>
      <c r="L63" s="22"/>
      <c r="M63" s="48"/>
      <c r="N63" s="23"/>
      <c r="O63" s="169">
        <f t="shared" ref="O63:O66" si="14">IF(N63="",0,N63-G63)</f>
        <v>0</v>
      </c>
      <c r="P63" s="170">
        <f t="shared" ref="P63:P67" si="15">IF(G63=0,0,O63/G63)</f>
        <v>0</v>
      </c>
      <c r="Q63" s="225"/>
    </row>
    <row r="64" spans="1:17" x14ac:dyDescent="0.25">
      <c r="A64" s="19">
        <v>2</v>
      </c>
      <c r="B64" s="4" t="s">
        <v>285</v>
      </c>
      <c r="C64" s="111">
        <f>ROUNDUP('שאלון למילוי מגיש הבקשה - חובה'!$G$33/4,0)</f>
        <v>0</v>
      </c>
      <c r="D64" s="7">
        <v>3000</v>
      </c>
      <c r="E64" s="7">
        <f t="shared" si="12"/>
        <v>0</v>
      </c>
      <c r="F64" s="8"/>
      <c r="G64" s="167">
        <f t="shared" si="13"/>
        <v>0</v>
      </c>
      <c r="H64" s="168" t="str">
        <f>IF(F64&gt;C64,"נא להסביר חריגה","")</f>
        <v/>
      </c>
      <c r="I64" s="9"/>
      <c r="J64" s="35">
        <v>1</v>
      </c>
      <c r="K64" s="22"/>
      <c r="L64" s="22"/>
      <c r="M64" s="48"/>
      <c r="N64" s="23"/>
      <c r="O64" s="169">
        <f t="shared" si="14"/>
        <v>0</v>
      </c>
      <c r="P64" s="170">
        <f t="shared" si="15"/>
        <v>0</v>
      </c>
      <c r="Q64" s="225"/>
    </row>
    <row r="65" spans="1:17" ht="27.6" x14ac:dyDescent="0.25">
      <c r="A65" s="19">
        <v>3</v>
      </c>
      <c r="B65" s="4" t="s">
        <v>137</v>
      </c>
      <c r="C65" s="111">
        <f>ROUNDUP('שאלון למילוי מגיש הבקשה - חובה'!$G$33*1.2,0)</f>
        <v>0</v>
      </c>
      <c r="D65" s="7">
        <v>200</v>
      </c>
      <c r="E65" s="7">
        <f t="shared" ref="E65" si="16">C65*D65</f>
        <v>0</v>
      </c>
      <c r="F65" s="8"/>
      <c r="G65" s="167">
        <f t="shared" ref="G65" si="17">D65*F65</f>
        <v>0</v>
      </c>
      <c r="H65" s="168" t="str">
        <f>IF(F65&gt;C65,"נא להסביר חריגה","")</f>
        <v/>
      </c>
      <c r="I65" s="9"/>
      <c r="J65" s="35">
        <v>1</v>
      </c>
      <c r="K65" s="22"/>
      <c r="L65" s="22"/>
      <c r="M65" s="48"/>
      <c r="N65" s="23"/>
      <c r="O65" s="169">
        <f t="shared" ref="O65" si="18">IF(N65="",0,N65-G65)</f>
        <v>0</v>
      </c>
      <c r="P65" s="170">
        <f t="shared" ref="P65" si="19">IF(G65=0,0,O65/G65)</f>
        <v>0</v>
      </c>
      <c r="Q65" s="225"/>
    </row>
    <row r="66" spans="1:17" x14ac:dyDescent="0.25">
      <c r="A66" s="19">
        <v>4</v>
      </c>
      <c r="B66" s="4" t="s">
        <v>277</v>
      </c>
      <c r="C66" s="111">
        <f>IF('שאלון למילוי מגיש הבקשה - חובה'!$G$33&lt;31,1,IF('שאלון למילוי מגיש הבקשה - חובה'!$G$33&lt;61,2,3))</f>
        <v>1</v>
      </c>
      <c r="D66" s="7">
        <v>1000</v>
      </c>
      <c r="E66" s="7">
        <f t="shared" si="12"/>
        <v>1000</v>
      </c>
      <c r="F66" s="8"/>
      <c r="G66" s="167">
        <f t="shared" si="13"/>
        <v>0</v>
      </c>
      <c r="H66" s="168" t="str">
        <f>IF(F66&gt;C66,"נא להסביר חריגה","")</f>
        <v/>
      </c>
      <c r="I66" s="9"/>
      <c r="J66" s="35">
        <v>1</v>
      </c>
      <c r="K66" s="22"/>
      <c r="L66" s="22"/>
      <c r="M66" s="48"/>
      <c r="N66" s="23"/>
      <c r="O66" s="169">
        <f t="shared" si="14"/>
        <v>0</v>
      </c>
      <c r="P66" s="170">
        <f t="shared" si="15"/>
        <v>0</v>
      </c>
      <c r="Q66" s="225"/>
    </row>
    <row r="67" spans="1:17" x14ac:dyDescent="0.25">
      <c r="A67" s="19"/>
      <c r="B67" s="4" t="s">
        <v>16</v>
      </c>
      <c r="C67" s="7"/>
      <c r="D67" s="7"/>
      <c r="E67" s="7">
        <f>SUM(E63:E66)</f>
        <v>1000</v>
      </c>
      <c r="F67" s="167"/>
      <c r="G67" s="167">
        <f>SUM(G63:G66)</f>
        <v>0</v>
      </c>
      <c r="H67" s="167"/>
      <c r="I67" s="167"/>
      <c r="J67" s="7">
        <f>SUM(J63:J66)</f>
        <v>4</v>
      </c>
      <c r="K67" s="10"/>
      <c r="L67" s="11"/>
      <c r="M67" s="96"/>
      <c r="N67" s="7">
        <f t="shared" ref="N67:O67" si="20">SUM(N63:N66)</f>
        <v>0</v>
      </c>
      <c r="O67" s="169">
        <f t="shared" si="20"/>
        <v>0</v>
      </c>
      <c r="P67" s="170">
        <f t="shared" si="15"/>
        <v>0</v>
      </c>
      <c r="Q67" s="96"/>
    </row>
    <row r="68" spans="1:17" x14ac:dyDescent="0.25">
      <c r="A68" s="13"/>
      <c r="B68" s="14"/>
      <c r="C68" s="15"/>
      <c r="D68" s="15"/>
      <c r="E68" s="15"/>
      <c r="F68" s="172"/>
      <c r="G68" s="172"/>
      <c r="H68" s="172"/>
      <c r="I68" s="172"/>
      <c r="J68" s="15"/>
      <c r="K68" s="16"/>
      <c r="L68" s="173"/>
      <c r="M68" s="174"/>
      <c r="N68" s="15"/>
      <c r="O68" s="175"/>
      <c r="P68" s="176"/>
      <c r="Q68" s="174"/>
    </row>
    <row r="69" spans="1:17" s="39" customFormat="1" x14ac:dyDescent="0.25">
      <c r="A69" s="177" t="s">
        <v>198</v>
      </c>
      <c r="B69" s="178" t="str">
        <f>B10</f>
        <v>קטגוריה  ג' - ציוד מטבח וחדר אוכל</v>
      </c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O69" s="181"/>
      <c r="Q69" s="28"/>
    </row>
    <row r="70" spans="1:17" ht="55.2" x14ac:dyDescent="0.25">
      <c r="A70" s="182"/>
      <c r="B70" s="77" t="str">
        <f>B10</f>
        <v>קטגוריה  ג' - ציוד מטבח וחדר אוכל</v>
      </c>
      <c r="C70" s="20"/>
      <c r="D70" s="83"/>
      <c r="E70" s="34" t="s">
        <v>286</v>
      </c>
      <c r="F70" s="40"/>
      <c r="G70" s="165" t="s">
        <v>203</v>
      </c>
      <c r="H70" s="183"/>
      <c r="I70" s="184"/>
      <c r="J70" s="34" t="s">
        <v>286</v>
      </c>
      <c r="K70" s="185"/>
      <c r="L70" s="183"/>
      <c r="M70" s="184"/>
      <c r="N70" s="165" t="s">
        <v>95</v>
      </c>
      <c r="O70" s="166" t="s">
        <v>92</v>
      </c>
      <c r="P70" s="186" t="s">
        <v>93</v>
      </c>
      <c r="Q70" s="187" t="s">
        <v>13</v>
      </c>
    </row>
    <row r="71" spans="1:17" s="39" customFormat="1" x14ac:dyDescent="0.25">
      <c r="A71" s="188"/>
      <c r="B71" s="81" t="s">
        <v>293</v>
      </c>
      <c r="C71" s="82"/>
      <c r="D71" s="189"/>
      <c r="E71" s="190">
        <f>E28+E67</f>
        <v>98500</v>
      </c>
      <c r="F71" s="191"/>
      <c r="G71" s="190">
        <f>IF(G28&gt;0,G28+G67,0)</f>
        <v>0</v>
      </c>
      <c r="H71" s="191"/>
      <c r="I71" s="189"/>
      <c r="J71" s="190">
        <f>IF(J28&gt;0,J28+J67,0)</f>
        <v>0</v>
      </c>
      <c r="K71" s="192"/>
      <c r="L71" s="191"/>
      <c r="M71" s="189"/>
      <c r="N71" s="190">
        <f>IF(N28&gt;0,N28+N67,0)</f>
        <v>0</v>
      </c>
      <c r="O71" s="193">
        <f t="shared" ref="O71:O72" si="21">IF(N71="",0,N71-G71)</f>
        <v>0</v>
      </c>
      <c r="P71" s="194">
        <f t="shared" ref="P71:P72" si="22">IF(G71=0,0,O71/G71)</f>
        <v>0</v>
      </c>
      <c r="Q71" s="224"/>
    </row>
    <row r="72" spans="1:17" s="39" customFormat="1" x14ac:dyDescent="0.25">
      <c r="A72" s="81"/>
      <c r="B72" s="81" t="s">
        <v>295</v>
      </c>
      <c r="C72" s="45"/>
      <c r="D72" s="189"/>
      <c r="E72" s="190">
        <f>E59+E67</f>
        <v>243600</v>
      </c>
      <c r="F72" s="191"/>
      <c r="G72" s="190">
        <f>IF(G59&gt;0,G59+G67,0)</f>
        <v>0</v>
      </c>
      <c r="H72" s="191"/>
      <c r="I72" s="189"/>
      <c r="J72" s="190">
        <f>IF(J59&gt;0,J59+J67,0)</f>
        <v>0</v>
      </c>
      <c r="K72" s="192"/>
      <c r="L72" s="191"/>
      <c r="M72" s="189"/>
      <c r="N72" s="190">
        <f>IF(N59&gt;0,N59+N67,0)</f>
        <v>0</v>
      </c>
      <c r="O72" s="193">
        <f t="shared" si="21"/>
        <v>0</v>
      </c>
      <c r="P72" s="194">
        <f t="shared" si="22"/>
        <v>0</v>
      </c>
      <c r="Q72" s="224"/>
    </row>
    <row r="73" spans="1:17" x14ac:dyDescent="0.25">
      <c r="G73" s="28" t="str">
        <f>IF(OR(G71=0,G72=0),"",FALSE)</f>
        <v/>
      </c>
      <c r="J73" s="28" t="str">
        <f>IF(OR(J71=0,J72=0),"",FALSE)</f>
        <v/>
      </c>
      <c r="N73" s="28" t="str">
        <f>IF(OR(N71=0,N72=0),"",FALSE)</f>
        <v/>
      </c>
    </row>
    <row r="74" spans="1:17" x14ac:dyDescent="0.25">
      <c r="G74" s="156" t="str">
        <f>IF(G73=FALSE,"נא לבחור ציוד מטבח מסוג אחד בלבד מחמם או מבשל","")</f>
        <v/>
      </c>
      <c r="J74" s="156" t="str">
        <f>IF(J73=FALSE,"נא לבחור ציוד מטבח מסוג אחד בלבד מחמם או מבשל","")</f>
        <v/>
      </c>
      <c r="N74" s="156" t="str">
        <f>IF(N73=FALSE,"נא לבחור ציוד מטבח מסוג אחד בלבד מחמם או מבשל","")</f>
        <v/>
      </c>
    </row>
  </sheetData>
  <sheetProtection algorithmName="SHA-512" hashValue="bU+/LN9vqQXTTPgmZHfUvrFh5NCXyueBvVDZZhYEmYfvV06v9d+TSJ7ORr3EAQbocuKhIM2r3nq6IrLyxJbYMQ==" saltValue="rRaiWq5iaje4KlcigKcmwg==" spinCount="100000" sheet="1" formatCells="0" formatColumns="0" formatRows="0"/>
  <conditionalFormatting sqref="H13:I13 H14:H27 I14:I18">
    <cfRule type="containsText" dxfId="28" priority="54" operator="containsText" text="נא להסביר חריגה כאן">
      <formula>NOT(ISERROR(SEARCH("נא להסביר חריגה כאן",H13)))</formula>
    </cfRule>
  </conditionalFormatting>
  <conditionalFormatting sqref="H13:H27">
    <cfRule type="cellIs" dxfId="27" priority="52" operator="equal">
      <formula>"נא להסביר חריגה"</formula>
    </cfRule>
    <cfRule type="cellIs" dxfId="26" priority="53" operator="equal">
      <formula>"נא להסביר חריגה"</formula>
    </cfRule>
  </conditionalFormatting>
  <conditionalFormatting sqref="H33:H58">
    <cfRule type="containsText" dxfId="25" priority="51" operator="containsText" text="נא להסביר חריגה כאן">
      <formula>NOT(ISERROR(SEARCH("נא להסביר חריגה כאן",H33)))</formula>
    </cfRule>
  </conditionalFormatting>
  <conditionalFormatting sqref="H33:H58">
    <cfRule type="cellIs" dxfId="24" priority="49" operator="equal">
      <formula>"נא להסביר חריגה"</formula>
    </cfRule>
    <cfRule type="cellIs" dxfId="23" priority="50" operator="equal">
      <formula>"נא להסביר חריגה"</formula>
    </cfRule>
  </conditionalFormatting>
  <conditionalFormatting sqref="H63:H66">
    <cfRule type="containsText" dxfId="22" priority="48" operator="containsText" text="נא להסביר חריגה כאן">
      <formula>NOT(ISERROR(SEARCH("נא להסביר חריגה כאן",H63)))</formula>
    </cfRule>
  </conditionalFormatting>
  <conditionalFormatting sqref="H63:H66">
    <cfRule type="cellIs" dxfId="21" priority="46" operator="equal">
      <formula>"נא להסביר חריגה"</formula>
    </cfRule>
    <cfRule type="cellIs" dxfId="20" priority="47" operator="equal">
      <formula>"נא להסביר חריגה"</formula>
    </cfRule>
  </conditionalFormatting>
  <conditionalFormatting sqref="J13">
    <cfRule type="containsText" dxfId="19" priority="40" operator="containsText" text="נא להסביר חריגה כאן">
      <formula>NOT(ISERROR(SEARCH("נא להסביר חריגה כאן",J13)))</formula>
    </cfRule>
  </conditionalFormatting>
  <conditionalFormatting sqref="P13:P28">
    <cfRule type="cellIs" dxfId="18" priority="36" operator="greaterThan">
      <formula>0</formula>
    </cfRule>
  </conditionalFormatting>
  <conditionalFormatting sqref="P33:P59">
    <cfRule type="cellIs" dxfId="17" priority="35" operator="greaterThan">
      <formula>0</formula>
    </cfRule>
  </conditionalFormatting>
  <conditionalFormatting sqref="P63:P68">
    <cfRule type="cellIs" dxfId="16" priority="34" operator="greaterThan">
      <formula>0</formula>
    </cfRule>
  </conditionalFormatting>
  <conditionalFormatting sqref="Q71">
    <cfRule type="cellIs" dxfId="15" priority="33" operator="greaterThan">
      <formula>0</formula>
    </cfRule>
  </conditionalFormatting>
  <conditionalFormatting sqref="P71:P72">
    <cfRule type="cellIs" dxfId="14" priority="32" operator="greaterThan">
      <formula>0</formula>
    </cfRule>
  </conditionalFormatting>
  <conditionalFormatting sqref="Q72">
    <cfRule type="cellIs" dxfId="13" priority="28" operator="greaterThan">
      <formula>0</formula>
    </cfRule>
  </conditionalFormatting>
  <conditionalFormatting sqref="G73">
    <cfRule type="cellIs" dxfId="12" priority="19" operator="equal">
      <formula>FALSE</formula>
    </cfRule>
  </conditionalFormatting>
  <conditionalFormatting sqref="J73">
    <cfRule type="cellIs" dxfId="11" priority="17" operator="equal">
      <formula>FALSE</formula>
    </cfRule>
  </conditionalFormatting>
  <conditionalFormatting sqref="N73">
    <cfRule type="cellIs" dxfId="10" priority="16" operator="equal">
      <formula>FALSE</formula>
    </cfRule>
  </conditionalFormatting>
  <conditionalFormatting sqref="O13:O28">
    <cfRule type="cellIs" dxfId="9" priority="15" operator="greaterThan">
      <formula>0</formula>
    </cfRule>
  </conditionalFormatting>
  <conditionalFormatting sqref="O33:O59">
    <cfRule type="cellIs" dxfId="8" priority="14" operator="greaterThan">
      <formula>0</formula>
    </cfRule>
  </conditionalFormatting>
  <conditionalFormatting sqref="O63:O67">
    <cfRule type="cellIs" dxfId="7" priority="13" operator="greaterThan">
      <formula>0</formula>
    </cfRule>
  </conditionalFormatting>
  <conditionalFormatting sqref="O71:O72">
    <cfRule type="cellIs" dxfId="6" priority="12" operator="greaterThan">
      <formula>0</formula>
    </cfRule>
  </conditionalFormatting>
  <conditionalFormatting sqref="J14:J27">
    <cfRule type="containsText" dxfId="5" priority="8" operator="containsText" text="נא להסביר חריגה כאן">
      <formula>NOT(ISERROR(SEARCH("נא להסביר חריגה כאן",J14)))</formula>
    </cfRule>
  </conditionalFormatting>
  <conditionalFormatting sqref="J33:J58">
    <cfRule type="containsText" dxfId="4" priority="6" operator="containsText" text="נא להסביר חריגה כאן">
      <formula>NOT(ISERROR(SEARCH("נא להסביר חריגה כאן",J33)))</formula>
    </cfRule>
  </conditionalFormatting>
  <conditionalFormatting sqref="J63:J66">
    <cfRule type="containsText" dxfId="3" priority="4" operator="containsText" text="נא להסביר חריגה כאן">
      <formula>NOT(ISERROR(SEARCH("נא להסביר חריגה כאן",J63)))</formula>
    </cfRule>
  </conditionalFormatting>
  <conditionalFormatting sqref="I19:I27">
    <cfRule type="containsText" dxfId="2" priority="3" operator="containsText" text="נא להסביר חריגה כאן">
      <formula>NOT(ISERROR(SEARCH("נא להסביר חריגה כאן",I19)))</formula>
    </cfRule>
  </conditionalFormatting>
  <conditionalFormatting sqref="I33:I58">
    <cfRule type="containsText" dxfId="1" priority="2" operator="containsText" text="נא להסביר חריגה כאן">
      <formula>NOT(ISERROR(SEARCH("נא להסביר חריגה כאן",I33)))</formula>
    </cfRule>
  </conditionalFormatting>
  <conditionalFormatting sqref="I63:I66">
    <cfRule type="containsText" dxfId="0" priority="1" operator="containsText" text="נא להסביר חריגה כאן">
      <formula>NOT(ISERROR(SEARCH("נא להסביר חריגה כאן",I63)))</formula>
    </cfRule>
  </conditionalFormatting>
  <pageMargins left="0.70866141732283472" right="1.299212598425197" top="0.74803149606299213" bottom="0.74803149606299213" header="0.31496062992125984" footer="0.31496062992125984"/>
  <pageSetup scale="80" orientation="landscape" r:id="rId1"/>
  <headerFooter>
    <oddHeader>&amp;C&amp;"David,רגיל"&amp;16קרנות הביטוח הלאומי
הקרן לפיתוח שרותים לנכים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FCED3-94CF-4E07-A056-53D2F9E7F245}">
  <sheetPr>
    <pageSetUpPr fitToPage="1"/>
  </sheetPr>
  <dimension ref="B6:E39"/>
  <sheetViews>
    <sheetView rightToLeft="1" zoomScaleNormal="100" workbookViewId="0">
      <selection activeCell="C17" sqref="C17"/>
    </sheetView>
  </sheetViews>
  <sheetFormatPr defaultColWidth="9.09765625" defaultRowHeight="13.8" x14ac:dyDescent="0.25"/>
  <cols>
    <col min="1" max="1" width="2.8984375" style="57" customWidth="1"/>
    <col min="2" max="2" width="47" style="57" customWidth="1"/>
    <col min="3" max="3" width="18.09765625" style="57" customWidth="1"/>
    <col min="4" max="4" width="19.09765625" style="57" customWidth="1"/>
    <col min="5" max="5" width="12.09765625" style="57" customWidth="1"/>
    <col min="6" max="16384" width="9.09765625" style="57"/>
  </cols>
  <sheetData>
    <row r="6" spans="2:5" x14ac:dyDescent="0.25">
      <c r="D6" s="49" t="s">
        <v>230</v>
      </c>
      <c r="E6" s="61">
        <f>'שאלון למילוי מגיש הבקשה - חובה'!G29</f>
        <v>0</v>
      </c>
    </row>
    <row r="7" spans="2:5" x14ac:dyDescent="0.25">
      <c r="D7" s="49" t="str">
        <f>'שאלון למילוי מגיש הבקשה - חובה'!C31</f>
        <v>קו עימות:</v>
      </c>
      <c r="E7" s="61">
        <f>'שאלון למילוי מגיש הבקשה - חובה'!G31</f>
        <v>0</v>
      </c>
    </row>
    <row r="8" spans="2:5" ht="15.6" x14ac:dyDescent="0.3">
      <c r="B8" s="67" t="s">
        <v>231</v>
      </c>
      <c r="D8" s="50" t="s">
        <v>325</v>
      </c>
      <c r="E8" s="51"/>
    </row>
    <row r="9" spans="2:5" x14ac:dyDescent="0.25">
      <c r="B9" s="57" t="s">
        <v>232</v>
      </c>
      <c r="C9" s="58">
        <f>'שאלון למילוי מגיש הבקשה - חובה'!G5</f>
        <v>0</v>
      </c>
    </row>
    <row r="10" spans="2:5" x14ac:dyDescent="0.25">
      <c r="B10" s="59" t="s">
        <v>207</v>
      </c>
      <c r="C10" s="57">
        <f>'שאלון למילוי מגיש הבקשה - חובה'!G7</f>
        <v>0</v>
      </c>
    </row>
    <row r="11" spans="2:5" x14ac:dyDescent="0.25">
      <c r="B11" s="57" t="str">
        <f>'[1]שאלון למילוי מגיש הבקשה - חובה'!C18</f>
        <v>שם המסגרת:</v>
      </c>
      <c r="C11" s="57">
        <f>'שאלון למילוי מגיש הבקשה - חובה'!G18</f>
        <v>0</v>
      </c>
    </row>
    <row r="12" spans="2:5" x14ac:dyDescent="0.25">
      <c r="B12" s="57" t="s">
        <v>233</v>
      </c>
      <c r="C12" s="57">
        <f>'שאלון למילוי מגיש הבקשה - חובה'!G33</f>
        <v>0</v>
      </c>
    </row>
    <row r="13" spans="2:5" x14ac:dyDescent="0.25">
      <c r="B13" s="57" t="s">
        <v>224</v>
      </c>
      <c r="C13" s="57">
        <f>'שאלון למילוי מגיש הבקשה - חובה'!G35</f>
        <v>0</v>
      </c>
    </row>
    <row r="15" spans="2:5" ht="41.4" x14ac:dyDescent="0.25">
      <c r="B15" s="60" t="s">
        <v>234</v>
      </c>
      <c r="C15" s="60" t="s">
        <v>235</v>
      </c>
    </row>
    <row r="16" spans="2:5" ht="15" customHeight="1" x14ac:dyDescent="0.25">
      <c r="B16" s="60" t="str">
        <f>'קטגוריה א - ציוד לחדרי קבוצות'!B10</f>
        <v xml:space="preserve">קטגוריה א'- ציוד וריהוט לחדרי קבוצות  </v>
      </c>
      <c r="C16" s="62">
        <f>'קטגוריה א - ציוד לחדרי קבוצות'!G51</f>
        <v>0</v>
      </c>
    </row>
    <row r="17" spans="2:4" x14ac:dyDescent="0.25">
      <c r="B17" s="60" t="str">
        <f>'קטגוריה ב - ציוד כללי'!B10</f>
        <v xml:space="preserve">קטגוריה ב'- ציוד כללי לסדנאות, חללים משותפים וציוד נוסף </v>
      </c>
      <c r="C17" s="62">
        <f>'קטגוריה ב - ציוד כללי'!G64</f>
        <v>0</v>
      </c>
    </row>
    <row r="18" spans="2:4" x14ac:dyDescent="0.25">
      <c r="B18" s="60" t="s">
        <v>298</v>
      </c>
      <c r="C18" s="62">
        <f>'קטגוריה ג -מטבח וחדר אוכל'!G71</f>
        <v>0</v>
      </c>
      <c r="D18" s="91" t="str">
        <f>IF('קטגוריה ג -מטבח וחדר אוכל'!G$73=FALSE,"טעות בבקשת ציוד מטבח","")</f>
        <v/>
      </c>
    </row>
    <row r="19" spans="2:4" x14ac:dyDescent="0.25">
      <c r="B19" s="60" t="s">
        <v>299</v>
      </c>
      <c r="C19" s="62">
        <f>'קטגוריה ג -מטבח וחדר אוכל'!G72</f>
        <v>0</v>
      </c>
      <c r="D19" s="91" t="str">
        <f>IF('קטגוריה ג -מטבח וחדר אוכל'!G$73=FALSE,"טעות בבקשת ציוד מטבח","")</f>
        <v/>
      </c>
    </row>
    <row r="20" spans="2:4" x14ac:dyDescent="0.25">
      <c r="B20" s="61" t="s">
        <v>236</v>
      </c>
      <c r="C20" s="62">
        <f>SUM(C16:C19)</f>
        <v>0</v>
      </c>
    </row>
    <row r="21" spans="2:4" hidden="1" x14ac:dyDescent="0.25"/>
    <row r="22" spans="2:4" hidden="1" x14ac:dyDescent="0.25">
      <c r="B22" s="59" t="s">
        <v>245</v>
      </c>
    </row>
    <row r="23" spans="2:4" hidden="1" x14ac:dyDescent="0.25">
      <c r="B23" s="61" t="s">
        <v>237</v>
      </c>
      <c r="C23" s="61" t="s">
        <v>238</v>
      </c>
      <c r="D23" s="63" t="s">
        <v>239</v>
      </c>
    </row>
    <row r="24" spans="2:4" hidden="1" x14ac:dyDescent="0.25">
      <c r="B24" s="60" t="s">
        <v>240</v>
      </c>
      <c r="C24" s="226">
        <f>IF(E7="כן",90%,IF(E6&lt;=4,90%,IF(E6&lt;8,80%,70%)))</f>
        <v>0.9</v>
      </c>
      <c r="D24" s="71">
        <f>$C$20*C24</f>
        <v>0</v>
      </c>
    </row>
    <row r="25" spans="2:4" hidden="1" x14ac:dyDescent="0.25">
      <c r="B25" s="61" t="s">
        <v>241</v>
      </c>
      <c r="C25" s="227">
        <f>100%-C24</f>
        <v>9.9999999999999978E-2</v>
      </c>
      <c r="D25" s="71">
        <f>$C$20*C25</f>
        <v>0</v>
      </c>
    </row>
    <row r="26" spans="2:4" hidden="1" x14ac:dyDescent="0.25">
      <c r="B26" s="61" t="s">
        <v>157</v>
      </c>
      <c r="C26" s="227">
        <f>SUM(C24:C25)</f>
        <v>1</v>
      </c>
      <c r="D26" s="71">
        <f>SUM(D24:D25)</f>
        <v>0</v>
      </c>
    </row>
    <row r="27" spans="2:4" hidden="1" x14ac:dyDescent="0.25">
      <c r="D27" s="72"/>
    </row>
    <row r="28" spans="2:4" hidden="1" x14ac:dyDescent="0.25">
      <c r="B28" s="59" t="s">
        <v>247</v>
      </c>
      <c r="D28" s="72"/>
    </row>
    <row r="29" spans="2:4" hidden="1" x14ac:dyDescent="0.25">
      <c r="B29" s="61" t="s">
        <v>237</v>
      </c>
      <c r="C29" s="61" t="s">
        <v>238</v>
      </c>
      <c r="D29" s="71" t="s">
        <v>239</v>
      </c>
    </row>
    <row r="30" spans="2:4" hidden="1" x14ac:dyDescent="0.25">
      <c r="B30" s="60" t="s">
        <v>242</v>
      </c>
      <c r="C30" s="227" t="str">
        <f>IF($D$30=0,"",IF($D$24&lt;$D$30,"",ROUNDUP(D30/C$20,4)))</f>
        <v/>
      </c>
      <c r="D30" s="71">
        <f>E8</f>
        <v>0</v>
      </c>
    </row>
    <row r="31" spans="2:4" hidden="1" x14ac:dyDescent="0.25">
      <c r="B31" s="61" t="s">
        <v>241</v>
      </c>
      <c r="C31" s="227" t="str">
        <f>IF($D$30=0,"",IF($D$24&lt;$D$30,"",ROUNDDOWN(D31/C$20,4)))</f>
        <v/>
      </c>
      <c r="D31" s="71">
        <f>IF($D$24&lt;$D$30,"",(D32-D30))</f>
        <v>0</v>
      </c>
    </row>
    <row r="32" spans="2:4" hidden="1" x14ac:dyDescent="0.25">
      <c r="B32" s="61" t="s">
        <v>157</v>
      </c>
      <c r="C32" s="227">
        <f>IF($D$24&lt;$D$30,"",SUM(C30:C31))</f>
        <v>0</v>
      </c>
      <c r="D32" s="71">
        <f>IF($D$24&lt;$D$30,"",C20)</f>
        <v>0</v>
      </c>
    </row>
    <row r="33" spans="2:5" x14ac:dyDescent="0.25">
      <c r="B33" s="64"/>
      <c r="C33" s="65"/>
      <c r="D33" s="73"/>
    </row>
    <row r="34" spans="2:5" ht="17.399999999999999" x14ac:dyDescent="0.3">
      <c r="B34" s="66" t="s">
        <v>243</v>
      </c>
      <c r="D34" s="72"/>
    </row>
    <row r="35" spans="2:5" ht="17.399999999999999" x14ac:dyDescent="0.3">
      <c r="B35" s="66" t="s">
        <v>246</v>
      </c>
      <c r="C35" s="67"/>
      <c r="D35" s="74"/>
    </row>
    <row r="36" spans="2:5" x14ac:dyDescent="0.25">
      <c r="B36" s="68" t="s">
        <v>237</v>
      </c>
      <c r="C36" s="68" t="s">
        <v>238</v>
      </c>
      <c r="D36" s="75" t="s">
        <v>239</v>
      </c>
    </row>
    <row r="37" spans="2:5" x14ac:dyDescent="0.25">
      <c r="B37" s="69" t="s">
        <v>244</v>
      </c>
      <c r="C37" s="228" t="str">
        <f>IF(D37=0,"",ROUNDUP(D37/C$20,4))</f>
        <v/>
      </c>
      <c r="D37" s="75">
        <f>MIN(D24,D30)</f>
        <v>0</v>
      </c>
      <c r="E37" s="70"/>
    </row>
    <row r="38" spans="2:5" x14ac:dyDescent="0.25">
      <c r="B38" s="68" t="s">
        <v>241</v>
      </c>
      <c r="C38" s="228" t="str">
        <f>IF(D38=0,"",ROUNDDOWN(D38/C$20,4))</f>
        <v/>
      </c>
      <c r="D38" s="75">
        <f>D39-D37</f>
        <v>0</v>
      </c>
    </row>
    <row r="39" spans="2:5" x14ac:dyDescent="0.25">
      <c r="B39" s="68" t="s">
        <v>157</v>
      </c>
      <c r="C39" s="228" t="str">
        <f>IF(D39=0,"",SUM(C37:C38))</f>
        <v/>
      </c>
      <c r="D39" s="75">
        <f>C20</f>
        <v>0</v>
      </c>
    </row>
  </sheetData>
  <sheetProtection algorithmName="SHA-512" hashValue="IFB8yujDIYnyJV+DeFri4fFZ0jA1D/v/iE7CZgrb9kvfUACPOD2g8zwy35O3yBsfbet/uMXIDVX3hlsgW/XNsw==" saltValue="BWfTolxjtO4ps8hwXpY9eQ==" spinCount="100000" sheet="1" formatCells="0" formatColumns="0" formatRows="0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0FA3-4786-4EEE-9013-ACE16296F3CB}">
  <sheetPr>
    <pageSetUpPr fitToPage="1"/>
  </sheetPr>
  <dimension ref="B6:E39"/>
  <sheetViews>
    <sheetView rightToLeft="1" zoomScaleNormal="100" workbookViewId="0"/>
  </sheetViews>
  <sheetFormatPr defaultColWidth="9.09765625" defaultRowHeight="13.8" x14ac:dyDescent="0.25"/>
  <cols>
    <col min="1" max="1" width="2.8984375" style="57" customWidth="1"/>
    <col min="2" max="2" width="47" style="57" customWidth="1"/>
    <col min="3" max="3" width="18.09765625" style="57" customWidth="1"/>
    <col min="4" max="4" width="19.09765625" style="57" customWidth="1"/>
    <col min="5" max="5" width="12.09765625" style="57" customWidth="1"/>
    <col min="6" max="16384" width="9.09765625" style="57"/>
  </cols>
  <sheetData>
    <row r="6" spans="2:5" x14ac:dyDescent="0.25">
      <c r="D6" s="49" t="s">
        <v>230</v>
      </c>
      <c r="E6" s="61">
        <f>'שאלון למילוי מגיש הבקשה - חובה'!G29</f>
        <v>0</v>
      </c>
    </row>
    <row r="7" spans="2:5" x14ac:dyDescent="0.25">
      <c r="D7" s="49" t="str">
        <f>'שאלון למילוי מגיש הבקשה - חובה'!C31</f>
        <v>קו עימות:</v>
      </c>
      <c r="E7" s="61">
        <f>'שאלון למילוי מגיש הבקשה - חובה'!G31</f>
        <v>0</v>
      </c>
    </row>
    <row r="8" spans="2:5" x14ac:dyDescent="0.25">
      <c r="B8" s="67" t="s">
        <v>231</v>
      </c>
      <c r="D8" s="49" t="s">
        <v>326</v>
      </c>
      <c r="E8" s="62">
        <f>'סיכום לוועדה'!E8</f>
        <v>0</v>
      </c>
    </row>
    <row r="9" spans="2:5" x14ac:dyDescent="0.25">
      <c r="B9" s="57" t="s">
        <v>232</v>
      </c>
      <c r="C9" s="58">
        <f>'שאלון למילוי מגיש הבקשה - חובה'!G5</f>
        <v>0</v>
      </c>
    </row>
    <row r="10" spans="2:5" x14ac:dyDescent="0.25">
      <c r="B10" s="59" t="s">
        <v>207</v>
      </c>
      <c r="C10" s="57">
        <f>'שאלון למילוי מגיש הבקשה - חובה'!G7</f>
        <v>0</v>
      </c>
    </row>
    <row r="11" spans="2:5" x14ac:dyDescent="0.25">
      <c r="B11" s="57" t="str">
        <f>'[1]שאלון למילוי מגיש הבקשה - חובה'!C18</f>
        <v>שם המסגרת:</v>
      </c>
      <c r="C11" s="57">
        <f>'שאלון למילוי מגיש הבקשה - חובה'!G18</f>
        <v>0</v>
      </c>
    </row>
    <row r="12" spans="2:5" x14ac:dyDescent="0.25">
      <c r="B12" s="57" t="s">
        <v>233</v>
      </c>
      <c r="C12" s="57">
        <f>'שאלון למילוי מגיש הבקשה - חובה'!G33</f>
        <v>0</v>
      </c>
    </row>
    <row r="13" spans="2:5" x14ac:dyDescent="0.25">
      <c r="B13" s="57" t="s">
        <v>224</v>
      </c>
      <c r="C13" s="57">
        <f>'שאלון למילוי מגיש הבקשה - חובה'!G35</f>
        <v>0</v>
      </c>
    </row>
    <row r="15" spans="2:5" ht="41.4" x14ac:dyDescent="0.25">
      <c r="B15" s="60" t="s">
        <v>234</v>
      </c>
      <c r="C15" s="60" t="s">
        <v>235</v>
      </c>
    </row>
    <row r="16" spans="2:5" ht="15" customHeight="1" x14ac:dyDescent="0.25">
      <c r="B16" s="60" t="str">
        <f>'קטגוריה א - ציוד לחדרי קבוצות'!B10</f>
        <v xml:space="preserve">קטגוריה א'- ציוד וריהוט לחדרי קבוצות  </v>
      </c>
      <c r="C16" s="62">
        <f>'קטגוריה א - ציוד לחדרי קבוצות'!G51</f>
        <v>0</v>
      </c>
    </row>
    <row r="17" spans="2:4" x14ac:dyDescent="0.25">
      <c r="B17" s="60" t="str">
        <f>'קטגוריה ב - ציוד כללי'!B10</f>
        <v xml:space="preserve">קטגוריה ב'- ציוד כללי לסדנאות, חללים משותפים וציוד נוסף </v>
      </c>
      <c r="C17" s="62">
        <f>'קטגוריה ב - ציוד כללי'!G64</f>
        <v>0</v>
      </c>
    </row>
    <row r="18" spans="2:4" x14ac:dyDescent="0.25">
      <c r="B18" s="60" t="s">
        <v>298</v>
      </c>
      <c r="C18" s="62">
        <f>'קטגוריה ג -מטבח וחדר אוכל'!G71</f>
        <v>0</v>
      </c>
      <c r="D18" s="91" t="str">
        <f>IF('קטגוריה ג -מטבח וחדר אוכל'!G$73=FALSE,"טעות בבקשת ציוד מטבח","")</f>
        <v/>
      </c>
    </row>
    <row r="19" spans="2:4" x14ac:dyDescent="0.25">
      <c r="B19" s="60" t="s">
        <v>299</v>
      </c>
      <c r="C19" s="62">
        <f>'קטגוריה ג -מטבח וחדר אוכל'!G72</f>
        <v>0</v>
      </c>
      <c r="D19" s="91" t="str">
        <f>IF('קטגוריה ג -מטבח וחדר אוכל'!G$73=FALSE,"טעות בבקשת ציוד מטבח","")</f>
        <v/>
      </c>
    </row>
    <row r="20" spans="2:4" x14ac:dyDescent="0.25">
      <c r="B20" s="61" t="s">
        <v>236</v>
      </c>
      <c r="C20" s="62">
        <f>SUM(C16:C19)</f>
        <v>0</v>
      </c>
    </row>
    <row r="22" spans="2:4" x14ac:dyDescent="0.25">
      <c r="B22" s="59" t="s">
        <v>245</v>
      </c>
    </row>
    <row r="23" spans="2:4" x14ac:dyDescent="0.25">
      <c r="B23" s="61" t="s">
        <v>237</v>
      </c>
      <c r="C23" s="61" t="s">
        <v>238</v>
      </c>
      <c r="D23" s="63" t="s">
        <v>239</v>
      </c>
    </row>
    <row r="24" spans="2:4" x14ac:dyDescent="0.25">
      <c r="B24" s="60" t="s">
        <v>240</v>
      </c>
      <c r="C24" s="226">
        <f>IF(E7="כן",90%,IF(E6&lt;=4,90%,IF(E6&lt;8,80%,70%)))</f>
        <v>0.9</v>
      </c>
      <c r="D24" s="71">
        <f>$C$20*C24</f>
        <v>0</v>
      </c>
    </row>
    <row r="25" spans="2:4" x14ac:dyDescent="0.25">
      <c r="B25" s="61" t="s">
        <v>241</v>
      </c>
      <c r="C25" s="227">
        <f>100%-C24</f>
        <v>9.9999999999999978E-2</v>
      </c>
      <c r="D25" s="71">
        <f>$C$20*C25</f>
        <v>0</v>
      </c>
    </row>
    <row r="26" spans="2:4" x14ac:dyDescent="0.25">
      <c r="B26" s="61" t="s">
        <v>157</v>
      </c>
      <c r="C26" s="227">
        <f>SUM(C24:C25)</f>
        <v>1</v>
      </c>
      <c r="D26" s="71">
        <f>SUM(D24:D25)</f>
        <v>0</v>
      </c>
    </row>
    <row r="27" spans="2:4" x14ac:dyDescent="0.25">
      <c r="D27" s="72"/>
    </row>
    <row r="28" spans="2:4" x14ac:dyDescent="0.25">
      <c r="B28" s="59" t="s">
        <v>247</v>
      </c>
      <c r="D28" s="72"/>
    </row>
    <row r="29" spans="2:4" x14ac:dyDescent="0.25">
      <c r="B29" s="61" t="s">
        <v>237</v>
      </c>
      <c r="C29" s="61" t="s">
        <v>238</v>
      </c>
      <c r="D29" s="71" t="s">
        <v>239</v>
      </c>
    </row>
    <row r="30" spans="2:4" x14ac:dyDescent="0.25">
      <c r="B30" s="60" t="s">
        <v>242</v>
      </c>
      <c r="C30" s="227" t="str">
        <f>IF($D$30=0,"",IF($D$24&lt;$D$30,"",ROUNDUP(D30/C$20,4)))</f>
        <v/>
      </c>
      <c r="D30" s="71">
        <f>E8</f>
        <v>0</v>
      </c>
    </row>
    <row r="31" spans="2:4" x14ac:dyDescent="0.25">
      <c r="B31" s="61" t="s">
        <v>241</v>
      </c>
      <c r="C31" s="227" t="str">
        <f>IF($D$30=0,"",IF($D$24&lt;$D$30,"",ROUNDDOWN(D31/C$20,4)))</f>
        <v/>
      </c>
      <c r="D31" s="71">
        <f>IF($D$24&lt;$D$30,"",(D32-D30))</f>
        <v>0</v>
      </c>
    </row>
    <row r="32" spans="2:4" x14ac:dyDescent="0.25">
      <c r="B32" s="61" t="s">
        <v>157</v>
      </c>
      <c r="C32" s="227">
        <f>IF($D$24&lt;$D$30,"",SUM(C30:C31))</f>
        <v>0</v>
      </c>
      <c r="D32" s="71">
        <f>IF($D$24&lt;$D$30,"",C20)</f>
        <v>0</v>
      </c>
    </row>
    <row r="33" spans="2:5" x14ac:dyDescent="0.25">
      <c r="B33" s="64"/>
      <c r="C33" s="65"/>
      <c r="D33" s="73"/>
    </row>
    <row r="34" spans="2:5" ht="17.399999999999999" x14ac:dyDescent="0.3">
      <c r="B34" s="66" t="s">
        <v>243</v>
      </c>
      <c r="D34" s="72"/>
    </row>
    <row r="35" spans="2:5" ht="17.399999999999999" x14ac:dyDescent="0.3">
      <c r="B35" s="66" t="s">
        <v>246</v>
      </c>
      <c r="C35" s="67"/>
      <c r="D35" s="74"/>
    </row>
    <row r="36" spans="2:5" x14ac:dyDescent="0.25">
      <c r="B36" s="68" t="s">
        <v>237</v>
      </c>
      <c r="C36" s="68" t="s">
        <v>238</v>
      </c>
      <c r="D36" s="75" t="s">
        <v>239</v>
      </c>
    </row>
    <row r="37" spans="2:5" x14ac:dyDescent="0.25">
      <c r="B37" s="69" t="s">
        <v>244</v>
      </c>
      <c r="C37" s="228" t="str">
        <f>IF(D37=0,"",ROUNDUP(D37/C$20,4))</f>
        <v/>
      </c>
      <c r="D37" s="75">
        <f>MIN(D24,D30)</f>
        <v>0</v>
      </c>
      <c r="E37" s="70"/>
    </row>
    <row r="38" spans="2:5" x14ac:dyDescent="0.25">
      <c r="B38" s="68" t="s">
        <v>241</v>
      </c>
      <c r="C38" s="228" t="str">
        <f>IF(D38=0,"",ROUNDDOWN(D38/C$20,4))</f>
        <v/>
      </c>
      <c r="D38" s="75">
        <f>D39-D37</f>
        <v>0</v>
      </c>
    </row>
    <row r="39" spans="2:5" x14ac:dyDescent="0.25">
      <c r="B39" s="68" t="s">
        <v>157</v>
      </c>
      <c r="C39" s="228" t="str">
        <f>IF(D39=0,"",SUM(C37:C38))</f>
        <v/>
      </c>
      <c r="D39" s="75">
        <f>C20</f>
        <v>0</v>
      </c>
    </row>
  </sheetData>
  <sheetProtection algorithmName="SHA-512" hashValue="wx9EdkfuN02BjwNlyiKwiO1veOZfXIyAyqNfa3ABuJdmW6o7pUXthWVQLIDYYHMDTbGf0ZxQhSMk11IxGcLQgA==" saltValue="3tVFdkb0lS36G9KSLWOq5w==" spinCount="100000" sheet="1" formatCells="0" formatColumns="0" formatRows="0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4E3F86D58734C7AA1EEF000005FC8B6" ma:contentTypeVersion="1" ma:contentTypeDescription="צור מסמך חדש." ma:contentTypeScope="" ma:versionID="ae5ff37499b070873e287761911273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726508-E2A0-4B9C-8218-574C9DC7A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6EF35F-60EE-43EB-8539-561D596C6A1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תקן ציוד - הנחיות להגשת הבקשה</vt:lpstr>
      <vt:lpstr>שאלון למילוי מגיש הבקשה - חובה</vt:lpstr>
      <vt:lpstr>קטגוריה א - ציוד לחדרי קבוצות</vt:lpstr>
      <vt:lpstr>קטגוריה ב - ציוד כללי</vt:lpstr>
      <vt:lpstr>קטגוריה ג -מטבח וחדר אוכל</vt:lpstr>
      <vt:lpstr>סיכום לוועדה</vt:lpstr>
      <vt:lpstr>סיכום מפורט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Vadim Ignatiev</dc:creator>
  <cp:lastModifiedBy>Beni</cp:lastModifiedBy>
  <cp:lastPrinted>2023-12-06T05:43:56Z</cp:lastPrinted>
  <dcterms:created xsi:type="dcterms:W3CDTF">2013-08-02T06:29:35Z</dcterms:created>
  <dcterms:modified xsi:type="dcterms:W3CDTF">2024-02-11T10:43:13Z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443315140</vt:i4>
  </property>
  <property fmtid="{D5CDD505-2E9C-101B-9397-08002B2CF9AE}" pid="3" name="_NewReviewCycle">
    <vt:lpwstr/>
  </property>
  <property fmtid="{D5CDD505-2E9C-101B-9397-08002B2CF9AE}" pid="4" name="_EmailSubject">
    <vt:lpwstr>שולח דואר אלקטרוני: תקן ציוד כללי בסיסי למרכזי יום-סופי  29.8.19 -נעול</vt:lpwstr>
  </property>
  <property fmtid="{D5CDD505-2E9C-101B-9397-08002B2CF9AE}" pid="5" name="_AuthorEmail">
    <vt:lpwstr>00057612@snifim.blroot</vt:lpwstr>
  </property>
  <property fmtid="{D5CDD505-2E9C-101B-9397-08002B2CF9AE}" pid="6" name="_AuthorEmailDisplayName">
    <vt:lpwstr>לאה אירן מולה</vt:lpwstr>
  </property>
  <property fmtid="{D5CDD505-2E9C-101B-9397-08002B2CF9AE}" pid="7" name="_ReviewingToolsShownOnce">
    <vt:lpwstr/>
  </property>
  <property fmtid="{D5CDD505-2E9C-101B-9397-08002B2CF9AE}" pid="8" name="ContentTypeId">
    <vt:lpwstr>0x01010074E3F86D58734C7AA1EEF000005FC8B6</vt:lpwstr>
  </property>
  <property fmtid="{D5CDD505-2E9C-101B-9397-08002B2CF9AE}" pid="9" name="Order">
    <vt:r8>10500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