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eni\Desktop\ביטוח לאומי-תקנים 24.6.26\תקן ציוד בסיסי למרכזי יום לאנשים עם מוגבלות\"/>
    </mc:Choice>
  </mc:AlternateContent>
  <xr:revisionPtr revIDLastSave="0" documentId="13_ncr:1_{9D3B26D1-09AA-4F5A-A41E-B16589F6F0E5}" xr6:coauthVersionLast="36" xr6:coauthVersionMax="47" xr10:uidLastSave="{00000000-0000-0000-0000-000000000000}"/>
  <bookViews>
    <workbookView xWindow="0" yWindow="0" windowWidth="23016" windowHeight="9060" tabRatio="500" xr2:uid="{00000000-000D-0000-FFFF-FFFF00000000}"/>
  </bookViews>
  <sheets>
    <sheet name="פתיח" sheetId="1" r:id="rId1"/>
    <sheet name="שאלון למילוי מגיש הבקשה-חובה" sheetId="2" r:id="rId2"/>
    <sheet name="א-ציוד לחדרי קבוצות" sheetId="3" r:id="rId3"/>
    <sheet name="ב-ציוד כללי" sheetId="4" r:id="rId4"/>
    <sheet name="ג-מטבח וחדר אוכל" sheetId="5" r:id="rId5"/>
    <sheet name="ד-ציוד תעסוקה" sheetId="6" r:id="rId6"/>
    <sheet name="ה-ציוד צוות" sheetId="11" r:id="rId7"/>
    <sheet name="ו-ציוד נוסף שלא קיים בתקן" sheetId="8" r:id="rId8"/>
    <sheet name="סיכום לוועדה" sheetId="9" r:id="rId9"/>
  </sheets>
  <definedNames>
    <definedName name="BedroomType" localSheetId="0">#REF!</definedName>
    <definedName name="BedroomType">#REF!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61" i="5" l="1"/>
  <c r="D30" i="5"/>
  <c r="B1" i="9" l="1"/>
  <c r="H23" i="5"/>
  <c r="F23" i="5"/>
  <c r="E20" i="4"/>
  <c r="I23" i="5" l="1"/>
  <c r="R23" i="5"/>
  <c r="S23" i="5" s="1"/>
  <c r="E17" i="5"/>
  <c r="F17" i="5" s="1"/>
  <c r="E16" i="5"/>
  <c r="E43" i="5"/>
  <c r="E44" i="5"/>
  <c r="E18" i="5"/>
  <c r="F44" i="5"/>
  <c r="I44" i="5"/>
  <c r="I17" i="5"/>
  <c r="E37" i="4"/>
  <c r="D68" i="5"/>
  <c r="D69" i="5"/>
  <c r="H44" i="5" l="1"/>
  <c r="R44" i="5" s="1"/>
  <c r="H17" i="5"/>
  <c r="R17" i="5" s="1"/>
  <c r="E31" i="4"/>
  <c r="E45" i="5"/>
  <c r="E24" i="5"/>
  <c r="E36" i="4"/>
  <c r="F14" i="11"/>
  <c r="I14" i="11"/>
  <c r="H14" i="11"/>
  <c r="R14" i="11" s="1"/>
  <c r="I21" i="5"/>
  <c r="H21" i="5"/>
  <c r="R21" i="5" s="1"/>
  <c r="S21" i="5" s="1"/>
  <c r="F21" i="5"/>
  <c r="E15" i="5"/>
  <c r="E14" i="5"/>
  <c r="S44" i="5" l="1"/>
  <c r="S17" i="5"/>
  <c r="S14" i="11"/>
  <c r="D5" i="4"/>
  <c r="E24" i="4" l="1"/>
  <c r="L54" i="4"/>
  <c r="F15" i="11"/>
  <c r="H15" i="11"/>
  <c r="R15" i="11" s="1"/>
  <c r="I15" i="11" l="1"/>
  <c r="S15" i="11"/>
  <c r="D17" i="3"/>
  <c r="F17" i="3" s="1"/>
  <c r="D23" i="3" l="1"/>
  <c r="D18" i="3"/>
  <c r="B15" i="9"/>
  <c r="B14" i="9"/>
  <c r="D24" i="11"/>
  <c r="D25" i="11" s="1"/>
  <c r="D10" i="11" s="1"/>
  <c r="D5" i="11"/>
  <c r="B5" i="11"/>
  <c r="D4" i="11"/>
  <c r="B4" i="11"/>
  <c r="D3" i="11"/>
  <c r="B3" i="11"/>
  <c r="D2" i="11"/>
  <c r="B2" i="11"/>
  <c r="B17" i="9"/>
  <c r="H17" i="3" l="1"/>
  <c r="I17" i="3"/>
  <c r="D11" i="11"/>
  <c r="D12" i="11"/>
  <c r="D13" i="11"/>
  <c r="I13" i="11" s="1"/>
  <c r="D16" i="11"/>
  <c r="F16" i="11" s="1"/>
  <c r="D17" i="11"/>
  <c r="I17" i="11" s="1"/>
  <c r="D9" i="11"/>
  <c r="E42" i="4"/>
  <c r="L35" i="6"/>
  <c r="L23" i="6"/>
  <c r="H12" i="6"/>
  <c r="I30" i="5"/>
  <c r="I28" i="5"/>
  <c r="I25" i="5"/>
  <c r="I24" i="5"/>
  <c r="H22" i="5"/>
  <c r="I20" i="5"/>
  <c r="I19" i="5"/>
  <c r="I18" i="5"/>
  <c r="I16" i="5"/>
  <c r="I15" i="5"/>
  <c r="I14" i="5"/>
  <c r="I38" i="5"/>
  <c r="I39" i="5"/>
  <c r="I40" i="5"/>
  <c r="I41" i="5"/>
  <c r="I42" i="5"/>
  <c r="I43" i="5"/>
  <c r="I45" i="5"/>
  <c r="I47" i="5"/>
  <c r="I48" i="5"/>
  <c r="I49" i="5"/>
  <c r="I50" i="5"/>
  <c r="I51" i="5"/>
  <c r="I53" i="5"/>
  <c r="I54" i="5"/>
  <c r="I55" i="5"/>
  <c r="H58" i="5"/>
  <c r="R58" i="5" s="1"/>
  <c r="H60" i="5"/>
  <c r="R60" i="5" s="1"/>
  <c r="I61" i="5"/>
  <c r="I62" i="5"/>
  <c r="I37" i="5"/>
  <c r="I26" i="4"/>
  <c r="I24" i="4"/>
  <c r="H48" i="4"/>
  <c r="I43" i="4"/>
  <c r="I42" i="4"/>
  <c r="I37" i="4"/>
  <c r="I36" i="4"/>
  <c r="I34" i="4"/>
  <c r="I33" i="4"/>
  <c r="I32" i="4"/>
  <c r="I31" i="4"/>
  <c r="I20" i="4"/>
  <c r="I15" i="4"/>
  <c r="E15" i="4"/>
  <c r="D35" i="4"/>
  <c r="F35" i="4" s="1"/>
  <c r="E40" i="5"/>
  <c r="F61" i="5"/>
  <c r="H69" i="5"/>
  <c r="R69" i="5" s="1"/>
  <c r="F30" i="5"/>
  <c r="E20" i="5"/>
  <c r="D67" i="5"/>
  <c r="H67" i="5" s="1"/>
  <c r="D12" i="6"/>
  <c r="F12" i="6" s="1"/>
  <c r="D29" i="9"/>
  <c r="B18" i="9"/>
  <c r="B16" i="9"/>
  <c r="B13" i="9"/>
  <c r="B12" i="9"/>
  <c r="C9" i="9"/>
  <c r="C8" i="9"/>
  <c r="C7" i="9"/>
  <c r="C6" i="9"/>
  <c r="C5" i="9"/>
  <c r="D3" i="9"/>
  <c r="C3" i="9"/>
  <c r="D2" i="9"/>
  <c r="I67" i="8"/>
  <c r="N66" i="8"/>
  <c r="P66" i="8" s="1"/>
  <c r="K66" i="8"/>
  <c r="I66" i="8"/>
  <c r="N65" i="8"/>
  <c r="P65" i="8" s="1"/>
  <c r="K65" i="8"/>
  <c r="I65" i="8"/>
  <c r="N64" i="8"/>
  <c r="P64" i="8" s="1"/>
  <c r="K64" i="8"/>
  <c r="I64" i="8"/>
  <c r="N63" i="8"/>
  <c r="P63" i="8" s="1"/>
  <c r="K63" i="8"/>
  <c r="I63" i="8"/>
  <c r="N62" i="8"/>
  <c r="P62" i="8" s="1"/>
  <c r="K62" i="8"/>
  <c r="I62" i="8"/>
  <c r="N61" i="8"/>
  <c r="P61" i="8" s="1"/>
  <c r="K61" i="8"/>
  <c r="I61" i="8"/>
  <c r="N60" i="8"/>
  <c r="P60" i="8" s="1"/>
  <c r="K60" i="8"/>
  <c r="I60" i="8"/>
  <c r="N59" i="8"/>
  <c r="P59" i="8" s="1"/>
  <c r="K59" i="8"/>
  <c r="I59" i="8"/>
  <c r="N58" i="8"/>
  <c r="P58" i="8" s="1"/>
  <c r="K58" i="8"/>
  <c r="I58" i="8"/>
  <c r="N57" i="8"/>
  <c r="P57" i="8" s="1"/>
  <c r="K57" i="8"/>
  <c r="I57" i="8"/>
  <c r="N56" i="8"/>
  <c r="P56" i="8" s="1"/>
  <c r="K56" i="8"/>
  <c r="I56" i="8"/>
  <c r="N55" i="8"/>
  <c r="P55" i="8" s="1"/>
  <c r="K55" i="8"/>
  <c r="I55" i="8"/>
  <c r="N54" i="8"/>
  <c r="P54" i="8" s="1"/>
  <c r="K54" i="8"/>
  <c r="I54" i="8"/>
  <c r="N53" i="8"/>
  <c r="P53" i="8" s="1"/>
  <c r="K53" i="8"/>
  <c r="I53" i="8"/>
  <c r="N52" i="8"/>
  <c r="P52" i="8" s="1"/>
  <c r="K52" i="8"/>
  <c r="I52" i="8"/>
  <c r="N51" i="8"/>
  <c r="P51" i="8" s="1"/>
  <c r="K51" i="8"/>
  <c r="I51" i="8"/>
  <c r="N50" i="8"/>
  <c r="P50" i="8" s="1"/>
  <c r="K50" i="8"/>
  <c r="I50" i="8"/>
  <c r="N49" i="8"/>
  <c r="P49" i="8" s="1"/>
  <c r="K49" i="8"/>
  <c r="I49" i="8"/>
  <c r="N48" i="8"/>
  <c r="P48" i="8" s="1"/>
  <c r="K48" i="8"/>
  <c r="I48" i="8"/>
  <c r="N47" i="8"/>
  <c r="P47" i="8" s="1"/>
  <c r="K47" i="8"/>
  <c r="I47" i="8"/>
  <c r="N46" i="8"/>
  <c r="P46" i="8" s="1"/>
  <c r="K46" i="8"/>
  <c r="I46" i="8"/>
  <c r="N45" i="8"/>
  <c r="P45" i="8" s="1"/>
  <c r="K45" i="8"/>
  <c r="I45" i="8"/>
  <c r="N44" i="8"/>
  <c r="P44" i="8" s="1"/>
  <c r="K44" i="8"/>
  <c r="I44" i="8"/>
  <c r="N43" i="8"/>
  <c r="P43" i="8" s="1"/>
  <c r="K43" i="8"/>
  <c r="I43" i="8"/>
  <c r="N42" i="8"/>
  <c r="P42" i="8" s="1"/>
  <c r="K42" i="8"/>
  <c r="I42" i="8"/>
  <c r="N41" i="8"/>
  <c r="P41" i="8" s="1"/>
  <c r="K41" i="8"/>
  <c r="I41" i="8"/>
  <c r="N40" i="8"/>
  <c r="P40" i="8" s="1"/>
  <c r="K40" i="8"/>
  <c r="I40" i="8"/>
  <c r="N39" i="8"/>
  <c r="P39" i="8" s="1"/>
  <c r="K39" i="8"/>
  <c r="I39" i="8"/>
  <c r="N38" i="8"/>
  <c r="P38" i="8" s="1"/>
  <c r="K38" i="8"/>
  <c r="I38" i="8"/>
  <c r="N37" i="8"/>
  <c r="P37" i="8" s="1"/>
  <c r="K37" i="8"/>
  <c r="I37" i="8"/>
  <c r="N36" i="8"/>
  <c r="P36" i="8" s="1"/>
  <c r="K36" i="8"/>
  <c r="I36" i="8"/>
  <c r="N35" i="8"/>
  <c r="P35" i="8" s="1"/>
  <c r="K35" i="8"/>
  <c r="I35" i="8"/>
  <c r="N34" i="8"/>
  <c r="P34" i="8" s="1"/>
  <c r="K34" i="8"/>
  <c r="I34" i="8"/>
  <c r="N33" i="8"/>
  <c r="P33" i="8" s="1"/>
  <c r="K33" i="8"/>
  <c r="I33" i="8"/>
  <c r="N32" i="8"/>
  <c r="P32" i="8" s="1"/>
  <c r="K32" i="8"/>
  <c r="I32" i="8"/>
  <c r="N31" i="8"/>
  <c r="P31" i="8" s="1"/>
  <c r="K31" i="8"/>
  <c r="I31" i="8"/>
  <c r="N30" i="8"/>
  <c r="P30" i="8" s="1"/>
  <c r="K30" i="8"/>
  <c r="I30" i="8"/>
  <c r="N29" i="8"/>
  <c r="P29" i="8" s="1"/>
  <c r="K29" i="8"/>
  <c r="I29" i="8"/>
  <c r="N28" i="8"/>
  <c r="P28" i="8" s="1"/>
  <c r="K28" i="8"/>
  <c r="I28" i="8"/>
  <c r="N27" i="8"/>
  <c r="P27" i="8" s="1"/>
  <c r="K27" i="8"/>
  <c r="I27" i="8"/>
  <c r="N26" i="8"/>
  <c r="P26" i="8" s="1"/>
  <c r="K26" i="8"/>
  <c r="I26" i="8"/>
  <c r="N25" i="8"/>
  <c r="P25" i="8" s="1"/>
  <c r="K25" i="8"/>
  <c r="I25" i="8"/>
  <c r="N24" i="8"/>
  <c r="P24" i="8" s="1"/>
  <c r="K24" i="8"/>
  <c r="I24" i="8"/>
  <c r="N23" i="8"/>
  <c r="P23" i="8" s="1"/>
  <c r="K23" i="8"/>
  <c r="I23" i="8"/>
  <c r="N22" i="8"/>
  <c r="P22" i="8" s="1"/>
  <c r="K22" i="8"/>
  <c r="I22" i="8"/>
  <c r="N21" i="8"/>
  <c r="P21" i="8" s="1"/>
  <c r="K21" i="8"/>
  <c r="I21" i="8"/>
  <c r="N20" i="8"/>
  <c r="P20" i="8" s="1"/>
  <c r="K20" i="8"/>
  <c r="I20" i="8"/>
  <c r="N19" i="8"/>
  <c r="P19" i="8" s="1"/>
  <c r="K19" i="8"/>
  <c r="I19" i="8"/>
  <c r="N18" i="8"/>
  <c r="P18" i="8" s="1"/>
  <c r="K18" i="8"/>
  <c r="I18" i="8"/>
  <c r="N17" i="8"/>
  <c r="P17" i="8" s="1"/>
  <c r="K17" i="8"/>
  <c r="I17" i="8"/>
  <c r="N16" i="8"/>
  <c r="P16" i="8" s="1"/>
  <c r="K16" i="8"/>
  <c r="I16" i="8"/>
  <c r="N15" i="8"/>
  <c r="P15" i="8" s="1"/>
  <c r="K15" i="8"/>
  <c r="I15" i="8"/>
  <c r="N14" i="8"/>
  <c r="P14" i="8" s="1"/>
  <c r="K14" i="8"/>
  <c r="I14" i="8"/>
  <c r="N13" i="8"/>
  <c r="P13" i="8" s="1"/>
  <c r="K13" i="8"/>
  <c r="I13" i="8"/>
  <c r="N12" i="8"/>
  <c r="P12" i="8" s="1"/>
  <c r="K12" i="8"/>
  <c r="I12" i="8"/>
  <c r="N11" i="8"/>
  <c r="P11" i="8" s="1"/>
  <c r="K11" i="8"/>
  <c r="I11" i="8"/>
  <c r="N10" i="8"/>
  <c r="P10" i="8" s="1"/>
  <c r="K10" i="8"/>
  <c r="I10" i="8"/>
  <c r="N9" i="8"/>
  <c r="P9" i="8" s="1"/>
  <c r="K9" i="8"/>
  <c r="I9" i="8"/>
  <c r="N8" i="8"/>
  <c r="K8" i="8"/>
  <c r="I8" i="8"/>
  <c r="C5" i="8"/>
  <c r="B5" i="8"/>
  <c r="C4" i="8"/>
  <c r="B4" i="8"/>
  <c r="D3" i="8"/>
  <c r="B3" i="8"/>
  <c r="D2" i="8"/>
  <c r="B2" i="8"/>
  <c r="B1" i="8"/>
  <c r="B38" i="6"/>
  <c r="B37" i="6"/>
  <c r="D24" i="6"/>
  <c r="D5" i="6"/>
  <c r="B5" i="6"/>
  <c r="D4" i="6"/>
  <c r="B4" i="6"/>
  <c r="D3" i="6"/>
  <c r="B3" i="6"/>
  <c r="D2" i="6"/>
  <c r="B2" i="6"/>
  <c r="B1" i="6"/>
  <c r="L74" i="5"/>
  <c r="B74" i="5"/>
  <c r="B73" i="5"/>
  <c r="D70" i="5"/>
  <c r="F70" i="5" s="1"/>
  <c r="H68" i="5"/>
  <c r="R68" i="5" s="1"/>
  <c r="F62" i="5"/>
  <c r="F60" i="5"/>
  <c r="D59" i="5"/>
  <c r="F58" i="5"/>
  <c r="D57" i="5"/>
  <c r="F57" i="5" s="1"/>
  <c r="F56" i="5"/>
  <c r="F55" i="5"/>
  <c r="F54" i="5"/>
  <c r="F53" i="5"/>
  <c r="F52" i="5"/>
  <c r="F51" i="5"/>
  <c r="F50" i="5"/>
  <c r="F49" i="5"/>
  <c r="F48" i="5"/>
  <c r="F47" i="5"/>
  <c r="F46" i="5"/>
  <c r="E42" i="5"/>
  <c r="F41" i="5"/>
  <c r="F39" i="5"/>
  <c r="F38" i="5"/>
  <c r="F37" i="5"/>
  <c r="D29" i="5"/>
  <c r="H29" i="5" s="1"/>
  <c r="R29" i="5" s="1"/>
  <c r="D27" i="5"/>
  <c r="I27" i="5" s="1"/>
  <c r="D26" i="5"/>
  <c r="F25" i="5"/>
  <c r="F22" i="5"/>
  <c r="F19" i="5"/>
  <c r="F18" i="5"/>
  <c r="F15" i="5"/>
  <c r="F14" i="5"/>
  <c r="B9" i="5"/>
  <c r="B7" i="5"/>
  <c r="D5" i="5"/>
  <c r="B5" i="5"/>
  <c r="D4" i="5"/>
  <c r="B4" i="5"/>
  <c r="D3" i="5"/>
  <c r="B3" i="5"/>
  <c r="D2" i="5"/>
  <c r="B2" i="5"/>
  <c r="B1" i="5"/>
  <c r="B55" i="4"/>
  <c r="B54" i="4"/>
  <c r="B53" i="4"/>
  <c r="D50" i="4"/>
  <c r="F50" i="4" s="1"/>
  <c r="D49" i="4"/>
  <c r="H49" i="4" s="1"/>
  <c r="R49" i="4" s="1"/>
  <c r="I48" i="4"/>
  <c r="F48" i="4"/>
  <c r="E43" i="4"/>
  <c r="F34" i="4"/>
  <c r="F33" i="4"/>
  <c r="F32" i="4"/>
  <c r="E26" i="4"/>
  <c r="F26" i="4" s="1"/>
  <c r="D25" i="4"/>
  <c r="H25" i="4" s="1"/>
  <c r="F24" i="4"/>
  <c r="F20" i="4"/>
  <c r="D14" i="4"/>
  <c r="D13" i="4"/>
  <c r="B9" i="4"/>
  <c r="B7" i="4"/>
  <c r="B5" i="4"/>
  <c r="D4" i="4"/>
  <c r="B4" i="4"/>
  <c r="D3" i="4"/>
  <c r="B3" i="4"/>
  <c r="D2" i="4"/>
  <c r="B2" i="4"/>
  <c r="B1" i="4"/>
  <c r="H35" i="2"/>
  <c r="H33" i="2"/>
  <c r="H31" i="2"/>
  <c r="H29" i="2"/>
  <c r="H26" i="2"/>
  <c r="H24" i="2"/>
  <c r="H22" i="2"/>
  <c r="H20" i="2"/>
  <c r="H18" i="2"/>
  <c r="H15" i="2"/>
  <c r="H13" i="2"/>
  <c r="H11" i="2"/>
  <c r="H9" i="2"/>
  <c r="H7" i="2"/>
  <c r="H5" i="2"/>
  <c r="B1" i="2"/>
  <c r="L45" i="3"/>
  <c r="H45" i="3"/>
  <c r="F45" i="3"/>
  <c r="B44" i="3"/>
  <c r="B45" i="3" s="1"/>
  <c r="D42" i="3"/>
  <c r="F42" i="3" s="1"/>
  <c r="J41" i="3"/>
  <c r="I41" i="3"/>
  <c r="H41" i="3"/>
  <c r="G41" i="3"/>
  <c r="F41" i="3"/>
  <c r="E41" i="3"/>
  <c r="D41" i="3"/>
  <c r="B41" i="3"/>
  <c r="A41" i="3"/>
  <c r="I38" i="3"/>
  <c r="D37" i="3"/>
  <c r="H37" i="3" s="1"/>
  <c r="R37" i="3" s="1"/>
  <c r="D36" i="3"/>
  <c r="H36" i="3" s="1"/>
  <c r="J35" i="3"/>
  <c r="I35" i="3"/>
  <c r="H35" i="3"/>
  <c r="G35" i="3"/>
  <c r="F35" i="3"/>
  <c r="E35" i="3"/>
  <c r="D35" i="3"/>
  <c r="B35" i="3"/>
  <c r="A35" i="3"/>
  <c r="I32" i="3"/>
  <c r="D31" i="3"/>
  <c r="I31" i="3" s="1"/>
  <c r="D30" i="3"/>
  <c r="D29" i="3"/>
  <c r="I29" i="3" s="1"/>
  <c r="J28" i="3"/>
  <c r="I28" i="3"/>
  <c r="H28" i="3"/>
  <c r="G28" i="3"/>
  <c r="F28" i="3"/>
  <c r="E28" i="3"/>
  <c r="D28" i="3"/>
  <c r="B28" i="3"/>
  <c r="A28" i="3"/>
  <c r="D24" i="3"/>
  <c r="D22" i="3"/>
  <c r="H22" i="3" s="1"/>
  <c r="R22" i="3" s="1"/>
  <c r="D21" i="3"/>
  <c r="F21" i="3" s="1"/>
  <c r="D20" i="3"/>
  <c r="H20" i="3" s="1"/>
  <c r="R20" i="3" s="1"/>
  <c r="D19" i="3"/>
  <c r="F19" i="3" s="1"/>
  <c r="D16" i="3"/>
  <c r="D15" i="3"/>
  <c r="H15" i="3" s="1"/>
  <c r="R15" i="3" s="1"/>
  <c r="D14" i="3"/>
  <c r="H14" i="3" s="1"/>
  <c r="R14" i="3" s="1"/>
  <c r="D13" i="3"/>
  <c r="F13" i="3" s="1"/>
  <c r="D5" i="3"/>
  <c r="B5" i="3"/>
  <c r="D4" i="3"/>
  <c r="B4" i="3"/>
  <c r="D3" i="3"/>
  <c r="B3" i="3"/>
  <c r="D2" i="3"/>
  <c r="B2" i="3"/>
  <c r="B1" i="3"/>
  <c r="P67" i="8" l="1"/>
  <c r="H50" i="5"/>
  <c r="Z39" i="8"/>
  <c r="Y39" i="8"/>
  <c r="Z45" i="8"/>
  <c r="Y45" i="8"/>
  <c r="Z27" i="8"/>
  <c r="Y27" i="8"/>
  <c r="Z12" i="8"/>
  <c r="Y12" i="8"/>
  <c r="Z63" i="8"/>
  <c r="Y63" i="8"/>
  <c r="Z24" i="8"/>
  <c r="Y24" i="8"/>
  <c r="Y57" i="8"/>
  <c r="Z57" i="8"/>
  <c r="Z42" i="8"/>
  <c r="Y42" i="8"/>
  <c r="Z36" i="8"/>
  <c r="Y36" i="8"/>
  <c r="Z48" i="8"/>
  <c r="Y48" i="8"/>
  <c r="Z30" i="8"/>
  <c r="Y30" i="8"/>
  <c r="Z66" i="8"/>
  <c r="Y66" i="8"/>
  <c r="Y9" i="8"/>
  <c r="Z9" i="8"/>
  <c r="Z60" i="8"/>
  <c r="Y60" i="8"/>
  <c r="Z18" i="8"/>
  <c r="Y18" i="8"/>
  <c r="Z54" i="8"/>
  <c r="Y54" i="8"/>
  <c r="Z21" i="8"/>
  <c r="Y21" i="8"/>
  <c r="Y67" i="8"/>
  <c r="Z67" i="8" s="1"/>
  <c r="Z19" i="8"/>
  <c r="Y19" i="8"/>
  <c r="Z37" i="8"/>
  <c r="Y37" i="8"/>
  <c r="Z55" i="8"/>
  <c r="Y55" i="8"/>
  <c r="Z23" i="8"/>
  <c r="Y23" i="8"/>
  <c r="Z41" i="8"/>
  <c r="Y41" i="8"/>
  <c r="Z59" i="8"/>
  <c r="Y59" i="8"/>
  <c r="Z16" i="8"/>
  <c r="Y16" i="8"/>
  <c r="Z34" i="8"/>
  <c r="Y34" i="8"/>
  <c r="Z52" i="8"/>
  <c r="Y52" i="8"/>
  <c r="R22" i="5"/>
  <c r="S22" i="5"/>
  <c r="F17" i="11"/>
  <c r="Z20" i="8"/>
  <c r="Y20" i="8"/>
  <c r="Z38" i="8"/>
  <c r="Y38" i="8"/>
  <c r="Z56" i="8"/>
  <c r="Y56" i="8"/>
  <c r="Z10" i="8"/>
  <c r="Y10" i="8"/>
  <c r="Z28" i="8"/>
  <c r="Y28" i="8"/>
  <c r="Z46" i="8"/>
  <c r="Y46" i="8"/>
  <c r="Z64" i="8"/>
  <c r="Y64" i="8"/>
  <c r="Z31" i="8"/>
  <c r="Y31" i="8"/>
  <c r="Z49" i="8"/>
  <c r="Y49" i="8"/>
  <c r="Z35" i="8"/>
  <c r="Y35" i="8"/>
  <c r="Z14" i="8"/>
  <c r="Y14" i="8"/>
  <c r="Z50" i="8"/>
  <c r="Y50" i="8"/>
  <c r="Z25" i="8"/>
  <c r="Y25" i="8"/>
  <c r="C23" i="9"/>
  <c r="C24" i="9" s="1"/>
  <c r="C25" i="9" s="1"/>
  <c r="S68" i="8"/>
  <c r="E18" i="9" s="1"/>
  <c r="Z11" i="8"/>
  <c r="Z29" i="8"/>
  <c r="Y29" i="8"/>
  <c r="Z47" i="8"/>
  <c r="Y47" i="8"/>
  <c r="Y65" i="8"/>
  <c r="Z65" i="8"/>
  <c r="Z13" i="8"/>
  <c r="Y13" i="8"/>
  <c r="Z17" i="8"/>
  <c r="Y17" i="8"/>
  <c r="Z53" i="8"/>
  <c r="Y53" i="8"/>
  <c r="Z32" i="8"/>
  <c r="Y32" i="8"/>
  <c r="Z43" i="8"/>
  <c r="Y43" i="8"/>
  <c r="Z61" i="8"/>
  <c r="Y61" i="8"/>
  <c r="H39" i="5"/>
  <c r="R39" i="5" s="1"/>
  <c r="Y22" i="8"/>
  <c r="Z22" i="8"/>
  <c r="Z40" i="8"/>
  <c r="Y40" i="8"/>
  <c r="Z58" i="8"/>
  <c r="Y58" i="8"/>
  <c r="Z15" i="8"/>
  <c r="Y15" i="8"/>
  <c r="Z26" i="8"/>
  <c r="Y26" i="8"/>
  <c r="Z33" i="8"/>
  <c r="Y33" i="8"/>
  <c r="Z44" i="8"/>
  <c r="Y44" i="8"/>
  <c r="Z51" i="8"/>
  <c r="Y51" i="8"/>
  <c r="Z62" i="8"/>
  <c r="Y62" i="8"/>
  <c r="H17" i="11"/>
  <c r="H41" i="5"/>
  <c r="R41" i="5" s="1"/>
  <c r="H37" i="5"/>
  <c r="R37" i="5" s="1"/>
  <c r="S37" i="5" s="1"/>
  <c r="H40" i="5"/>
  <c r="R40" i="5" s="1"/>
  <c r="H53" i="5"/>
  <c r="R53" i="5" s="1"/>
  <c r="H70" i="5"/>
  <c r="H71" i="5" s="1"/>
  <c r="H18" i="5"/>
  <c r="R18" i="5" s="1"/>
  <c r="I22" i="5"/>
  <c r="H24" i="5"/>
  <c r="H38" i="5"/>
  <c r="R38" i="5" s="1"/>
  <c r="S38" i="5" s="1"/>
  <c r="H51" i="5"/>
  <c r="R51" i="5" s="1"/>
  <c r="H25" i="5"/>
  <c r="R25" i="5" s="1"/>
  <c r="H57" i="5"/>
  <c r="R57" i="5" s="1"/>
  <c r="H27" i="5"/>
  <c r="R27" i="5" s="1"/>
  <c r="S27" i="5" s="1"/>
  <c r="F40" i="5"/>
  <c r="H49" i="5"/>
  <c r="R49" i="5" s="1"/>
  <c r="S49" i="5" s="1"/>
  <c r="H54" i="5"/>
  <c r="R54" i="5" s="1"/>
  <c r="H31" i="4"/>
  <c r="R31" i="4" s="1"/>
  <c r="S31" i="4" s="1"/>
  <c r="H43" i="4"/>
  <c r="R43" i="4" s="1"/>
  <c r="S43" i="4" s="1"/>
  <c r="H32" i="4"/>
  <c r="R32" i="4" s="1"/>
  <c r="H35" i="4"/>
  <c r="R35" i="4" s="1"/>
  <c r="H33" i="4"/>
  <c r="R33" i="4" s="1"/>
  <c r="H24" i="4"/>
  <c r="R24" i="4" s="1"/>
  <c r="S24" i="4" s="1"/>
  <c r="H24" i="3"/>
  <c r="R24" i="3" s="1"/>
  <c r="R17" i="3"/>
  <c r="S17" i="3" s="1"/>
  <c r="F24" i="6"/>
  <c r="I24" i="6"/>
  <c r="F12" i="11"/>
  <c r="F29" i="3"/>
  <c r="H21" i="3"/>
  <c r="R21" i="3" s="1"/>
  <c r="H42" i="3"/>
  <c r="F31" i="3"/>
  <c r="F13" i="11"/>
  <c r="R36" i="3"/>
  <c r="S36" i="3" s="1"/>
  <c r="Q38" i="3"/>
  <c r="H26" i="5"/>
  <c r="R26" i="5" s="1"/>
  <c r="I26" i="5"/>
  <c r="F59" i="5"/>
  <c r="I59" i="5"/>
  <c r="F30" i="3"/>
  <c r="I30" i="3"/>
  <c r="F16" i="3"/>
  <c r="H16" i="3"/>
  <c r="H18" i="3"/>
  <c r="R18" i="3" s="1"/>
  <c r="I25" i="4"/>
  <c r="H31" i="5"/>
  <c r="R31" i="5" s="1"/>
  <c r="I31" i="5"/>
  <c r="H13" i="4"/>
  <c r="I46" i="5"/>
  <c r="H46" i="5"/>
  <c r="R46" i="5" s="1"/>
  <c r="F14" i="4"/>
  <c r="H14" i="4"/>
  <c r="R14" i="4" s="1"/>
  <c r="S20" i="3"/>
  <c r="R50" i="5"/>
  <c r="S50" i="5" s="1"/>
  <c r="H56" i="5"/>
  <c r="R56" i="5" s="1"/>
  <c r="I56" i="5"/>
  <c r="H19" i="3"/>
  <c r="R19" i="3" s="1"/>
  <c r="S14" i="3"/>
  <c r="I29" i="5"/>
  <c r="I23" i="3"/>
  <c r="I24" i="3"/>
  <c r="I52" i="5"/>
  <c r="H52" i="5"/>
  <c r="R52" i="5" s="1"/>
  <c r="R70" i="5"/>
  <c r="H42" i="5"/>
  <c r="R42" i="5" s="1"/>
  <c r="I14" i="3"/>
  <c r="I20" i="3"/>
  <c r="R48" i="4"/>
  <c r="S48" i="4" s="1"/>
  <c r="H16" i="5"/>
  <c r="H50" i="4"/>
  <c r="R50" i="4" s="1"/>
  <c r="I15" i="3"/>
  <c r="H20" i="5"/>
  <c r="R20" i="5" s="1"/>
  <c r="H13" i="3"/>
  <c r="R13" i="3" s="1"/>
  <c r="H11" i="11"/>
  <c r="R11" i="11" s="1"/>
  <c r="S11" i="11" s="1"/>
  <c r="I11" i="11"/>
  <c r="H13" i="11"/>
  <c r="R13" i="11" s="1"/>
  <c r="S13" i="11" s="1"/>
  <c r="F11" i="11"/>
  <c r="F9" i="11"/>
  <c r="F10" i="11"/>
  <c r="H16" i="11"/>
  <c r="R17" i="11"/>
  <c r="I12" i="11"/>
  <c r="H12" i="11"/>
  <c r="H23" i="3"/>
  <c r="R23" i="3" s="1"/>
  <c r="P8" i="8"/>
  <c r="I68" i="8"/>
  <c r="L39" i="6"/>
  <c r="E16" i="9" s="1"/>
  <c r="H24" i="6"/>
  <c r="S68" i="5"/>
  <c r="S69" i="5"/>
  <c r="S58" i="5"/>
  <c r="S60" i="5"/>
  <c r="S29" i="5"/>
  <c r="H28" i="5"/>
  <c r="H14" i="5"/>
  <c r="R14" i="5" s="1"/>
  <c r="H19" i="5"/>
  <c r="H15" i="5"/>
  <c r="R67" i="5"/>
  <c r="S67" i="5" s="1"/>
  <c r="I67" i="5"/>
  <c r="I68" i="5"/>
  <c r="I69" i="5"/>
  <c r="I58" i="5"/>
  <c r="H62" i="5"/>
  <c r="H43" i="5"/>
  <c r="H55" i="5"/>
  <c r="I60" i="5"/>
  <c r="H47" i="5"/>
  <c r="H48" i="5"/>
  <c r="H45" i="5"/>
  <c r="S49" i="4"/>
  <c r="R25" i="4"/>
  <c r="S25" i="4" s="1"/>
  <c r="I49" i="4"/>
  <c r="H42" i="4"/>
  <c r="H34" i="4"/>
  <c r="H36" i="4"/>
  <c r="H37" i="4"/>
  <c r="H15" i="4"/>
  <c r="S37" i="3"/>
  <c r="S22" i="3"/>
  <c r="S15" i="3"/>
  <c r="I36" i="3"/>
  <c r="I37" i="3"/>
  <c r="H31" i="3"/>
  <c r="H29" i="3"/>
  <c r="I22" i="3"/>
  <c r="H38" i="3"/>
  <c r="F20" i="5"/>
  <c r="F16" i="5"/>
  <c r="F24" i="3"/>
  <c r="F37" i="3"/>
  <c r="F13" i="4"/>
  <c r="F49" i="4"/>
  <c r="F14" i="3"/>
  <c r="F23" i="3"/>
  <c r="F36" i="3"/>
  <c r="H26" i="4"/>
  <c r="R26" i="4" s="1"/>
  <c r="F68" i="5"/>
  <c r="F36" i="4"/>
  <c r="F43" i="4"/>
  <c r="F26" i="5"/>
  <c r="F28" i="5"/>
  <c r="F24" i="5"/>
  <c r="H30" i="5"/>
  <c r="F42" i="5"/>
  <c r="F45" i="5"/>
  <c r="H61" i="5"/>
  <c r="F15" i="3"/>
  <c r="F67" i="5"/>
  <c r="F31" i="4"/>
  <c r="F20" i="3"/>
  <c r="F25" i="4"/>
  <c r="F15" i="4"/>
  <c r="F69" i="5"/>
  <c r="F37" i="4"/>
  <c r="F42" i="4"/>
  <c r="F29" i="5"/>
  <c r="F31" i="5"/>
  <c r="F18" i="3"/>
  <c r="F22" i="3"/>
  <c r="H20" i="4"/>
  <c r="F27" i="5"/>
  <c r="F43" i="5"/>
  <c r="S17" i="11" l="1"/>
  <c r="S70" i="5"/>
  <c r="S53" i="5"/>
  <c r="H39" i="6"/>
  <c r="C16" i="9" s="1"/>
  <c r="S41" i="5"/>
  <c r="S40" i="5"/>
  <c r="S50" i="4"/>
  <c r="S39" i="5"/>
  <c r="S33" i="4"/>
  <c r="P68" i="8"/>
  <c r="Y8" i="8"/>
  <c r="X68" i="8"/>
  <c r="F18" i="9" s="1"/>
  <c r="Y11" i="8"/>
  <c r="S52" i="5"/>
  <c r="R24" i="5"/>
  <c r="S24" i="5" s="1"/>
  <c r="S18" i="5"/>
  <c r="I70" i="5"/>
  <c r="S26" i="5"/>
  <c r="I57" i="5"/>
  <c r="S46" i="5"/>
  <c r="S57" i="5"/>
  <c r="L32" i="5"/>
  <c r="S42" i="5"/>
  <c r="Q71" i="5"/>
  <c r="R71" i="5" s="1"/>
  <c r="S54" i="5"/>
  <c r="H59" i="5"/>
  <c r="R59" i="5" s="1"/>
  <c r="S59" i="5" s="1"/>
  <c r="S51" i="5"/>
  <c r="S56" i="5"/>
  <c r="S25" i="5"/>
  <c r="S32" i="4"/>
  <c r="S14" i="4"/>
  <c r="I42" i="3"/>
  <c r="I35" i="4"/>
  <c r="L44" i="4"/>
  <c r="Q44" i="4"/>
  <c r="I14" i="4"/>
  <c r="S35" i="4"/>
  <c r="H51" i="4"/>
  <c r="L38" i="4"/>
  <c r="R42" i="3"/>
  <c r="S42" i="3" s="1"/>
  <c r="S24" i="3"/>
  <c r="S19" i="3"/>
  <c r="Q23" i="6"/>
  <c r="R23" i="6" s="1"/>
  <c r="S23" i="6" s="1"/>
  <c r="S21" i="3"/>
  <c r="L32" i="3"/>
  <c r="I21" i="3"/>
  <c r="S18" i="3"/>
  <c r="L38" i="3"/>
  <c r="I18" i="3"/>
  <c r="R38" i="3"/>
  <c r="S38" i="3" s="1"/>
  <c r="I13" i="3"/>
  <c r="I16" i="3"/>
  <c r="R55" i="5"/>
  <c r="S55" i="5" s="1"/>
  <c r="L71" i="5"/>
  <c r="R43" i="5"/>
  <c r="S43" i="5" s="1"/>
  <c r="F51" i="4"/>
  <c r="L51" i="4"/>
  <c r="F32" i="3"/>
  <c r="R45" i="5"/>
  <c r="S45" i="5" s="1"/>
  <c r="R62" i="5"/>
  <c r="S62" i="5" s="1"/>
  <c r="I13" i="4"/>
  <c r="L16" i="4"/>
  <c r="S20" i="5"/>
  <c r="R61" i="5"/>
  <c r="S61" i="5" s="1"/>
  <c r="R15" i="4"/>
  <c r="S15" i="4" s="1"/>
  <c r="R28" i="5"/>
  <c r="S28" i="5" s="1"/>
  <c r="F27" i="4"/>
  <c r="L27" i="4"/>
  <c r="H30" i="3"/>
  <c r="H32" i="3" s="1"/>
  <c r="F63" i="5"/>
  <c r="L63" i="5"/>
  <c r="I19" i="3"/>
  <c r="R37" i="4"/>
  <c r="S37" i="4" s="1"/>
  <c r="R48" i="5"/>
  <c r="S48" i="5" s="1"/>
  <c r="Q27" i="4"/>
  <c r="R30" i="5"/>
  <c r="S30" i="5" s="1"/>
  <c r="R31" i="3"/>
  <c r="S31" i="3" s="1"/>
  <c r="R36" i="4"/>
  <c r="S36" i="4" s="1"/>
  <c r="S31" i="5"/>
  <c r="Q51" i="4"/>
  <c r="L25" i="3"/>
  <c r="R19" i="5"/>
  <c r="S19" i="5" s="1"/>
  <c r="I50" i="4"/>
  <c r="H16" i="4"/>
  <c r="H25" i="3"/>
  <c r="R47" i="5"/>
  <c r="S47" i="5" s="1"/>
  <c r="R15" i="5"/>
  <c r="S15" i="5" s="1"/>
  <c r="R16" i="3"/>
  <c r="S16" i="3" s="1"/>
  <c r="I16" i="11"/>
  <c r="R12" i="11"/>
  <c r="S12" i="11" s="1"/>
  <c r="I10" i="11"/>
  <c r="H10" i="11"/>
  <c r="L18" i="11"/>
  <c r="E17" i="9" s="1"/>
  <c r="F18" i="11"/>
  <c r="H9" i="11"/>
  <c r="I9" i="11"/>
  <c r="S23" i="3"/>
  <c r="R42" i="4"/>
  <c r="S42" i="4" s="1"/>
  <c r="H44" i="4"/>
  <c r="S14" i="5"/>
  <c r="H38" i="4"/>
  <c r="F25" i="3"/>
  <c r="F16" i="4"/>
  <c r="F32" i="5"/>
  <c r="F44" i="4"/>
  <c r="F38" i="4"/>
  <c r="H27" i="4"/>
  <c r="S26" i="4"/>
  <c r="F71" i="5"/>
  <c r="F38" i="3"/>
  <c r="S13" i="3"/>
  <c r="I12" i="6"/>
  <c r="F39" i="6"/>
  <c r="H32" i="5"/>
  <c r="R20" i="4"/>
  <c r="S20" i="4" s="1"/>
  <c r="R51" i="4" l="1"/>
  <c r="S51" i="4" s="1"/>
  <c r="Y68" i="8"/>
  <c r="Z68" i="8" s="1"/>
  <c r="Z8" i="8"/>
  <c r="C18" i="9"/>
  <c r="F46" i="3"/>
  <c r="H63" i="5"/>
  <c r="H76" i="5" s="1"/>
  <c r="C15" i="9" s="1"/>
  <c r="L75" i="5"/>
  <c r="E14" i="9" s="1"/>
  <c r="L76" i="5"/>
  <c r="E15" i="9" s="1"/>
  <c r="R44" i="4"/>
  <c r="S44" i="4" s="1"/>
  <c r="H55" i="4"/>
  <c r="L55" i="4"/>
  <c r="E13" i="9" s="1"/>
  <c r="F55" i="4"/>
  <c r="Q16" i="4"/>
  <c r="H46" i="3"/>
  <c r="C12" i="9" s="1"/>
  <c r="L46" i="3"/>
  <c r="E12" i="9" s="1"/>
  <c r="Q25" i="3"/>
  <c r="R29" i="3"/>
  <c r="S29" i="3" s="1"/>
  <c r="R13" i="4"/>
  <c r="S13" i="4" s="1"/>
  <c r="Q63" i="5"/>
  <c r="Q76" i="5" s="1"/>
  <c r="F15" i="9" s="1"/>
  <c r="R27" i="4"/>
  <c r="S27" i="4" s="1"/>
  <c r="R34" i="4"/>
  <c r="S34" i="4" s="1"/>
  <c r="Q38" i="4"/>
  <c r="Q35" i="6"/>
  <c r="Q32" i="5"/>
  <c r="Q75" i="5" s="1"/>
  <c r="F14" i="9" s="1"/>
  <c r="R16" i="5"/>
  <c r="S16" i="5" s="1"/>
  <c r="R30" i="3"/>
  <c r="S30" i="3" s="1"/>
  <c r="R16" i="11"/>
  <c r="S16" i="11" s="1"/>
  <c r="H18" i="11"/>
  <c r="C17" i="9" s="1"/>
  <c r="R10" i="11"/>
  <c r="S10" i="11" s="1"/>
  <c r="S71" i="5"/>
  <c r="F75" i="5"/>
  <c r="F76" i="5"/>
  <c r="H75" i="5"/>
  <c r="R63" i="5" l="1"/>
  <c r="R76" i="5" s="1"/>
  <c r="S76" i="5" s="1"/>
  <c r="E19" i="9"/>
  <c r="R16" i="4"/>
  <c r="Q55" i="4"/>
  <c r="F13" i="9" s="1"/>
  <c r="R25" i="3"/>
  <c r="S25" i="3" s="1"/>
  <c r="Q32" i="3"/>
  <c r="R32" i="3" s="1"/>
  <c r="S32" i="3" s="1"/>
  <c r="R35" i="6"/>
  <c r="S35" i="6" s="1"/>
  <c r="Q39" i="6"/>
  <c r="F16" i="9" s="1"/>
  <c r="R38" i="4"/>
  <c r="R32" i="5"/>
  <c r="R9" i="11"/>
  <c r="S9" i="11" s="1"/>
  <c r="Q18" i="11"/>
  <c r="C13" i="9"/>
  <c r="C14" i="9"/>
  <c r="H77" i="5"/>
  <c r="S63" i="5" l="1"/>
  <c r="S16" i="4"/>
  <c r="R55" i="4"/>
  <c r="S55" i="4" s="1"/>
  <c r="S38" i="4"/>
  <c r="Q46" i="3"/>
  <c r="F12" i="9" s="1"/>
  <c r="R18" i="11"/>
  <c r="S18" i="11" s="1"/>
  <c r="F17" i="9"/>
  <c r="R75" i="5"/>
  <c r="S75" i="5" s="1"/>
  <c r="S32" i="5"/>
  <c r="R39" i="6"/>
  <c r="S39" i="6" s="1"/>
  <c r="C19" i="9"/>
  <c r="D15" i="9"/>
  <c r="D14" i="9"/>
  <c r="H78" i="5"/>
  <c r="F19" i="9" l="1"/>
  <c r="D38" i="9"/>
  <c r="R46" i="3"/>
  <c r="S46" i="3" s="1"/>
  <c r="D23" i="9"/>
  <c r="D24" i="9"/>
  <c r="D25" i="9" l="1"/>
  <c r="C29" i="9"/>
  <c r="D31" i="9"/>
  <c r="D30" i="9" s="1"/>
  <c r="C30" i="9" s="1"/>
  <c r="D36" i="9"/>
  <c r="C36" i="9" s="1"/>
  <c r="C31" i="9" l="1"/>
  <c r="D37" i="9"/>
  <c r="C37" i="9" s="1"/>
  <c r="C38" i="9" s="1"/>
</calcChain>
</file>

<file path=xl/sharedStrings.xml><?xml version="1.0" encoding="utf-8"?>
<sst xmlns="http://schemas.openxmlformats.org/spreadsheetml/2006/main" count="754" uniqueCount="352">
  <si>
    <t xml:space="preserve">גירסה  עדכנית  לתאריך  </t>
  </si>
  <si>
    <t>רקע:</t>
  </si>
  <si>
    <t>בעשור  האחרון חל פיתוח מואץ, בהקמת מסגרות יום  בקהילה, עבור אנשים בוגרים (21+) עם מוגבלות, מתוך תפיסה הדוגלת בשילובם בקהילה, ובמתן פתרונות ומענים מגוונים, לבחירה של הפרט ובני משפחתו.</t>
  </si>
  <si>
    <t xml:space="preserve">המסגרות מיועדות, לאנשים ברמת תפקוד טיפולית וסיעודית, הזקוקים לתמיכות מקיפות בחיי היום יום.  </t>
  </si>
  <si>
    <t>במסגרות ניתנים: שירותי תמיכה, טיפול, העשרה ופנאי  מגוונים בשעות היום.</t>
  </si>
  <si>
    <t xml:space="preserve">הקרן לפיתוח שירותים לנכים של המוסד לביטוח לאומי, אשר הוקמה בשנת 1976 , מסייעת בפיתוח שירותים, המיועדים לשיפור איכות חייהם, שילובם ושיקומם של אנשים עם מוגבלות מגיל לידה עד גיל 65. </t>
  </si>
  <si>
    <t>תרומתה של הקרן לפיתוח שרותים לנכים, לפיתוח ושדרוג המסגרות, האיצה את הקמתן ופריסתן בכל רחבי הארץ, ובעשור האחרון , מאות אנשים עם מוגבלות נהנים מהמבנים המרווחים והמאובזרים בציוד חדשני ומותאם.</t>
  </si>
  <si>
    <t>מסמך זה נועד לפשט את תהליך הגשת הבקשות לקרנות לסיוע  במימון ציוד בסיסי למרכזי היום ולמסגרות למזדקנים (יקראו להלן  "המסגרות").</t>
  </si>
  <si>
    <t>המסמך אינו כולל ציוד טיפולי שיקומי וסיעודי .</t>
  </si>
  <si>
    <t>1. מטרת המסמך</t>
  </si>
  <si>
    <t xml:space="preserve">מדובר  באוכלוסייה הזקוקה  לתמיכות רבות  בחיי  היום – יום. המסגרות מוכרות ומתוקצבות ע"י משרד העבודה והרווחה והשרותים החברתיים. </t>
  </si>
  <si>
    <t>המסמך נועד:</t>
  </si>
  <si>
    <t>א.    להגדיר תחומי והיקף הסיוע  של  הקרן  עבור הציוד  הנדרש למסגרות.</t>
  </si>
  <si>
    <t>ב.     לסייע לאנשי מקצוע למקד את הצרכים בציוד בעת הקמת מסגרת חדשה או בשדרוג מסגרת קיימת.</t>
  </si>
  <si>
    <t xml:space="preserve">ג.       לקבוע  מסגרת  תקציבית  בהתאם לגודל וסוג המסגרת.  </t>
  </si>
  <si>
    <t>ד.     התקן מיועד למרכזי יום ולמסגרות למזדקנים הפועלים כיחידה נפרדת או המשולבים במסגרות תעסוקה מוגנת.</t>
  </si>
  <si>
    <t>2. הנחות יסוד</t>
  </si>
  <si>
    <t>תקן הציוד בקטגוריה א'  נקבע לפי  מספר חדרי פעילות או מספר האנשים במסגרת.</t>
  </si>
  <si>
    <t xml:space="preserve">בקטגוריה זו נקבעו 3 מדרגות: </t>
  </si>
  <si>
    <t xml:space="preserve">·        מסגרת קטנה  - 18-30 אנשים </t>
  </si>
  <si>
    <t xml:space="preserve">·        מסגרת בינונית  - 31-60 אנשים </t>
  </si>
  <si>
    <t xml:space="preserve">·        מסגרת גדולה  - 61 אנשים ומעלה  </t>
  </si>
  <si>
    <t>הציוד בתקן יקבע על פי  גודל המסגרת או כמות חדרי הפעילות.</t>
  </si>
  <si>
    <t>בקטגוריה זו יש פירוט של ציוד עבור</t>
  </si>
  <si>
    <t>ג1. מטבח מחמם</t>
  </si>
  <si>
    <t>ג2. מטבח מבשל</t>
  </si>
  <si>
    <t>ג3. ציוד וריהוט לחדר אוכל</t>
  </si>
  <si>
    <t>הציוד לסדנאות כולל ריהוט מתאים - כיסאות, שולחנות, מדפים</t>
  </si>
  <si>
    <t>יש לרשום 2 הצעות מחיר לציוד בעלות עד 20,000 ₪ ו-3 הצעות מחיר לסכום גבוה יותר</t>
  </si>
  <si>
    <t>מסגרת שיש לה אישור מהגורם המוסמך להפעלת מטבח מחמם ומפעילה מטבח מחמם תמלא  טבלאות  4.3.1  + 4.3.3 בלבד.</t>
  </si>
  <si>
    <t>מסגרת שיש לה אישור מהגורם המוסמך להפעלת מטבח מבשל ומפעילה מטבח מבשל תמלא  טבלאות 4.3.2  + 4.3.3  בלבד.</t>
  </si>
  <si>
    <t>הציוד בתקן על פי  גודל המסגרת או מספר האנשים.</t>
  </si>
  <si>
    <t xml:space="preserve"> ניתן להתקין ציוד גז באישור מתקין גז מוסמך מטעם משרד הכלכלה.</t>
  </si>
  <si>
    <t xml:space="preserve">2.2     התקן כולל תקציב המיועד לקבלת שירותי עיצוב פנים   על מנת לתת חזות  </t>
  </si>
  <si>
    <t xml:space="preserve"> נאה   נעימה ואסתטית לפנים המבנה.</t>
  </si>
  <si>
    <t>רמת מחיר  א' – סדנאות  יקרות- מחשבים ומולטימדיה , קרמיקה ,נגרות.</t>
  </si>
  <si>
    <t>רמת מחיר ב' – סדנאות זולות יותר- קפיטריה, סדנת גינון עם אדניות מוגבהות, סדנת אפיה ובישול, סדנת מוסיקה.</t>
  </si>
  <si>
    <t>מספר  הסדנאות המקסימלי  האפשרי  מותנה  בגודל  המסגרת  ומופיע בתקן עצמו.</t>
  </si>
  <si>
    <t>הציוד לסדנאות לא יכלול ציוד מתכלה.</t>
  </si>
  <si>
    <t xml:space="preserve">מרוכזת של כמות גדולה של פריטי ציוד שונים מאותו ספק,  באחריות המסגרת  לקבל "הנחת כמות". </t>
  </si>
  <si>
    <t>3.     הנחיות להגשת הבקשה:</t>
  </si>
  <si>
    <t xml:space="preserve">3.1   הבקשה תכלול את הפרטים הבאים: </t>
  </si>
  <si>
    <t xml:space="preserve">א. תוכנית העמדה של הציוד על גבי תוכנית אדריכלית בגודל  A3. </t>
  </si>
  <si>
    <t>ב. בקשת הריהוט והציוד תוגש באמצעות  קובץ  האקסל המצורף למסמך זה. יש לסמן את הריהוט והציוד המבוקש על גבי הטבלאות בהתאם להנחיות למילוי הבקשה.</t>
  </si>
  <si>
    <t>3.2   יש לשאוף לניצול מקסימלי של החדרים ובהתאם לכך לתכנן את אחסון הציוד בצורה  הולמת, מוגנת ושמורה. יש לשאוף לניצול יעיל ומרבי של הציוד.</t>
  </si>
  <si>
    <t>3.3   יש לתת עדיפות לרכישת פריטים מתוצרת הארץ.</t>
  </si>
  <si>
    <t>3.4   ברכישת הציוד יש להיצמד למחירים המופיעים בתקן.</t>
  </si>
  <si>
    <t>3.5  הטבלה כוללת עלויות הובלה והתקנת הציוד.</t>
  </si>
  <si>
    <t xml:space="preserve">3.6   הציוד המבוקש צריך להיות מתאים למטרות ותפעול המסגרת, מספר האנשים, כמות ומידות החדרים והחללים, ולשטח החצרות. </t>
  </si>
  <si>
    <t>3.7   בתכנון הרכש יש להתייחס לתקני איכות ובטיחות עדכניים.</t>
  </si>
  <si>
    <t xml:space="preserve">3.8    התקן  נקוב  בש"ח  וכולל מע"מ.  </t>
  </si>
  <si>
    <t>מבקש הציוד מתבקש למלא תחילה את ה"שאלון למילוי מגיש הבקשה"  במלואו.</t>
  </si>
  <si>
    <t>שאלון למילוי ע"י  מגיש הבקשה:</t>
  </si>
  <si>
    <t>פרטי הגוף המבקש</t>
  </si>
  <si>
    <t>תאריך הגשת הבקשה:</t>
  </si>
  <si>
    <t>שם הגוף המבקש:</t>
  </si>
  <si>
    <t>כתובת הגוף המבקש:</t>
  </si>
  <si>
    <t>איש קשר בגוף המבקש:</t>
  </si>
  <si>
    <t>טלפון איש קשר בגוף המבקש:</t>
  </si>
  <si>
    <t>מייל איש קשר בגוף המבקש:</t>
  </si>
  <si>
    <t>פרטי המסגרת</t>
  </si>
  <si>
    <t>שם המסגרת:</t>
  </si>
  <si>
    <t>כתובת המסגרת:</t>
  </si>
  <si>
    <t>איש קשר במסגרת:</t>
  </si>
  <si>
    <t>טלפון איש קשר במסגרת:</t>
  </si>
  <si>
    <t>מייל איש קשר במסגרת:</t>
  </si>
  <si>
    <t>מאפייני המקום</t>
  </si>
  <si>
    <t>דירוג סוציואקונומי של הישוב (לבחור):</t>
  </si>
  <si>
    <t>קו עימות:</t>
  </si>
  <si>
    <t>מספר האנשים שעבורם מיועד הפרויקט:</t>
  </si>
  <si>
    <t>מספר חדרי פעילות:</t>
  </si>
  <si>
    <t>הערות והסברים למילוי הבקשה:</t>
  </si>
  <si>
    <t>נא למלא את השאלון לעיל לפני מעבר לכתב הכמויות</t>
  </si>
  <si>
    <t>כל המחירים והעלויות להלן נקובים בש"ח  וכוללים מע"מ.</t>
  </si>
  <si>
    <t>התקנת חלק מהציוד דורשת עבודות פיתוח, תשתיות ושיפוץ. במסגרת התקן לא ינתן מימון לעבודות הנ"ל</t>
  </si>
  <si>
    <t xml:space="preserve">נא להתייחס להערות בכל הגיליון לגבי הדרישות למשאבים, כ"א, תקנים, מתן  פירוט והסברים  </t>
  </si>
  <si>
    <t>המחירים כוללים הובלה והתקנה של הציוד</t>
  </si>
  <si>
    <t>הנחיות והערות למילוי הבקשה בקטגוריה  א'</t>
  </si>
  <si>
    <t>כמויות התקן משתנות בהתאם  למספר האנשים במסגרת ומספר חדרי קבוצות.</t>
  </si>
  <si>
    <t xml:space="preserve">כל  המחירים והעלויות להלן  נקובים  בש"ח  וכוללים  מע"מ  </t>
  </si>
  <si>
    <t xml:space="preserve">קטגוריה א'- ציוד וריהוט לחדרי קבוצות  </t>
  </si>
  <si>
    <t>ציוד וריהוט חדרי קבוצות - תקן</t>
  </si>
  <si>
    <t>ציוד חדרי קבוצות - בקשה</t>
  </si>
  <si>
    <t>שלב  1</t>
  </si>
  <si>
    <t>דוח הוצאות כספי מפורט - שלבים 2 ואילך</t>
  </si>
  <si>
    <t xml:space="preserve">מס'  </t>
  </si>
  <si>
    <t xml:space="preserve">ציוד </t>
  </si>
  <si>
    <t xml:space="preserve">כמות תקן   </t>
  </si>
  <si>
    <t xml:space="preserve">מחיר התקן ליחידה כולל מע"מ   </t>
  </si>
  <si>
    <t>עלות ציוד התקן כולל מע"מ</t>
  </si>
  <si>
    <t>כמות הציוד המבוקש</t>
  </si>
  <si>
    <t xml:space="preserve">סך עלות הציוד המבוקש כולל מע"מ  </t>
  </si>
  <si>
    <t>התראת חריגה</t>
  </si>
  <si>
    <t>הערות/ הסבר חריגות</t>
  </si>
  <si>
    <t>צפי עלות רכישה כולל מע"מ</t>
  </si>
  <si>
    <t>שם הספק</t>
  </si>
  <si>
    <t>פירוט מהות ההוצאה -   הציוד שנרכש / השרות שניתן</t>
  </si>
  <si>
    <t>מס' חשבונית מס / קבלה</t>
  </si>
  <si>
    <t>תאריך הוצאה</t>
  </si>
  <si>
    <t>סכום הוצאה בש"ח וכולל מע"מ</t>
  </si>
  <si>
    <t>סכום חריגה מהתקציב - הפרש בין הסכום שנרכש בפועל לעלות שאושרה בהסכם</t>
  </si>
  <si>
    <t>שיעור ההפרש</t>
  </si>
  <si>
    <t>הערות לחריגה</t>
  </si>
  <si>
    <t>בדיקה והערות של היועץ מתאריך</t>
  </si>
  <si>
    <t>נבדק בשלב 2/3</t>
  </si>
  <si>
    <t>סך ציוד וריהוט לחדר קבוצה</t>
  </si>
  <si>
    <t>מחשבים וציוד מולטימדיה לחדרי קבוצות - תקן</t>
  </si>
  <si>
    <t>מחשבים וציוד מולטימדיה לחדרי קבוצות - בקשה</t>
  </si>
  <si>
    <t>סך מחשבים וציוד מולטימדיה</t>
  </si>
  <si>
    <t>ציוד גן, חצר ומרפסות - תקן</t>
  </si>
  <si>
    <t>ציוד גן, חצר ומרפסות - בקשה</t>
  </si>
  <si>
    <t xml:space="preserve">סך ציוד גן, חצר ומרפסות  </t>
  </si>
  <si>
    <t>ציוד סניטריה לחדרי שרותים - תקן</t>
  </si>
  <si>
    <t>ציוד סניטריה לחדרי שרותים - בקשה</t>
  </si>
  <si>
    <t>סך</t>
  </si>
  <si>
    <t xml:space="preserve">סכום חריגה </t>
  </si>
  <si>
    <t xml:space="preserve">הנחיות והערות למילוי הבקשה בקטגוריה  ב' </t>
  </si>
  <si>
    <t>ציוד תעסוקה/ סדנאות - תקן</t>
  </si>
  <si>
    <t>ציוד תעסוקה/ סדנאות - בקשה</t>
  </si>
  <si>
    <t>מס'</t>
  </si>
  <si>
    <t xml:space="preserve">כמות    </t>
  </si>
  <si>
    <t xml:space="preserve">מחיר ליחידה   </t>
  </si>
  <si>
    <t>עלות הציוד</t>
  </si>
  <si>
    <t xml:space="preserve">סך עלות הציוד המבוקש  </t>
  </si>
  <si>
    <t>רמה א' - סט ציוד לסדנאות: קרמיקה/  נגרות/ מחשבים ומולטימדיה (לפי גודל המסגרת) *</t>
  </si>
  <si>
    <t>*</t>
  </si>
  <si>
    <t>הערות:</t>
  </si>
  <si>
    <t>עבור  הסדנאות,  נדרש  להעביר פירוט  הכולל:  שם הסדנה, תכנים, תדירות הפעילות, כמות משתתפים מתוכננת  וכמות והכשרת הצוות המפעיל.</t>
  </si>
  <si>
    <t>ריהוט וציוד חללים משותפים  - תקן</t>
  </si>
  <si>
    <t>ריהוט וציוד חללים משותפים  - בקשה</t>
  </si>
  <si>
    <t>סך ריהוט וציוד חללים משותפים</t>
  </si>
  <si>
    <t>שירותי אדריכלות ועיצוב פנים - תקן</t>
  </si>
  <si>
    <t>שירותי אדריכלות ועיצוב פנים - בקשה</t>
  </si>
  <si>
    <t>ציוד מולטימדיה כללי - תקן</t>
  </si>
  <si>
    <t>ציוד מולטימדיה כללי - בקשה</t>
  </si>
  <si>
    <t>מערכת הקרנה ומסך חשמלי</t>
  </si>
  <si>
    <t>סך ציוד מולטימדיה</t>
  </si>
  <si>
    <t>ציוד אחזקת המתחם - תקן</t>
  </si>
  <si>
    <t>ציוד אחזקת המתחם  - בקשה</t>
  </si>
  <si>
    <t>שואב אבק תעשייתי</t>
  </si>
  <si>
    <t>סולם</t>
  </si>
  <si>
    <t>סך ציוד אחזקת המתחם</t>
  </si>
  <si>
    <t>ציוד אבטחה ובטיחות - תקן</t>
  </si>
  <si>
    <t>ציוד אבטחה ובטיחות - בקשה</t>
  </si>
  <si>
    <t>סך ציוד אבטחה ובטיחות קבוע</t>
  </si>
  <si>
    <t>ציוד עזרה ראשונה, ציוד מציל חיים וציוד חרום - תקן</t>
  </si>
  <si>
    <t>ציוד עזרה ראשונה, ציוד מציל חיים וציוד חרום - בקשה</t>
  </si>
  <si>
    <t>דיפיבריליאטור</t>
  </si>
  <si>
    <t>סך ציוד עזרה ראשונה, מציל חיים וציוד חרום</t>
  </si>
  <si>
    <t xml:space="preserve">עלות ציוד התקן </t>
  </si>
  <si>
    <t xml:space="preserve">עלות הציוד המבוקש </t>
  </si>
  <si>
    <t xml:space="preserve">הנחיות והערות למילוי הבקשה בקטגוריה  ג' </t>
  </si>
  <si>
    <t>בקטגוריה זו עליך למלא בקשה לציוד למטבח מחמם או  בקשה לציוד למטבח מבשל, בהתאם לאישורים ואופן הפעלת המטבח במסגרת + ציוד וריהוט לחדר האוכל.</t>
  </si>
  <si>
    <t>קטגוריה  ג' - ציוד מטבח וחדר אוכל</t>
  </si>
  <si>
    <t>נא לבחור ציוד מטבח מסוג אחד בלבד: מחמם או מבשל</t>
  </si>
  <si>
    <t>ציוד מטבח מחמם - תקן</t>
  </si>
  <si>
    <t>ציוד מטבח מחמם  - בקשה</t>
  </si>
  <si>
    <t>ציוד: במידה והמטבח אינו בחלל נפרד, ניתן לבקש ציוד רק בהיקף של מחצית  מהעלות לעיל (בהתאם לגודל המסגרת)</t>
  </si>
  <si>
    <t>מקפיא</t>
  </si>
  <si>
    <t>מעבד מזון מקצועי</t>
  </si>
  <si>
    <t>מיקרוגל</t>
  </si>
  <si>
    <t>סך ציוד מטבח מחמם</t>
  </si>
  <si>
    <t xml:space="preserve"> </t>
  </si>
  <si>
    <t xml:space="preserve">ציוד מטבח מבשל - תקן </t>
  </si>
  <si>
    <t>ציוד מטבח מבשל - בקשה</t>
  </si>
  <si>
    <t xml:space="preserve">מרכך מים </t>
  </si>
  <si>
    <t>קוצץ ירקות שולחני</t>
  </si>
  <si>
    <t>מעבד מזון תעשייתי</t>
  </si>
  <si>
    <t>מחבת מתהפך 50 ליטר</t>
  </si>
  <si>
    <t>ארון חימום תחתון/ מעמד לתנור</t>
  </si>
  <si>
    <t>סוללה עם מתז עליון על שולחן</t>
  </si>
  <si>
    <t>ברז שולחני עם פיה מסתובבת לכיור עבודה</t>
  </si>
  <si>
    <t>מדף עליון כפול</t>
  </si>
  <si>
    <t>מתלה ייבוש לצלחות עם מדף לספלים</t>
  </si>
  <si>
    <t>סה"כ ציוד מטבח מבשל - כולל מע"מ</t>
  </si>
  <si>
    <t>ציוד וריהוט חדר אוכל - תקן</t>
  </si>
  <si>
    <t>ציוד וריהוט חדר אוכל - בקשה</t>
  </si>
  <si>
    <t xml:space="preserve">סך ריהוט וציוד חדר אוכל </t>
  </si>
  <si>
    <t xml:space="preserve">עלות ציוד התקן לפי מטבח מבשל </t>
  </si>
  <si>
    <t>קטגוריה ד'- ציוד תעסוקה / סדנאות</t>
  </si>
  <si>
    <t>שם הסדנאות</t>
  </si>
  <si>
    <t>קטגוריה ה' - ציוד צוות</t>
  </si>
  <si>
    <t>ציוד חדר מנהל/ת - תקן</t>
  </si>
  <si>
    <t>ציוד חדר מנהל/ת  - בקשה</t>
  </si>
  <si>
    <t>ראה הערות בסוף הטבלה</t>
  </si>
  <si>
    <t>קטגוריה  ו' - צייוד שלא קיים בתקן</t>
  </si>
  <si>
    <t>תחום פעילות/ קבוצת ההוצאות</t>
  </si>
  <si>
    <t>פירוט הציוד/הפריט</t>
  </si>
  <si>
    <t>תיאור הצורך בפריט/בציוד</t>
  </si>
  <si>
    <t>כמות מבוקשת</t>
  </si>
  <si>
    <t>הצעת מחיר א'</t>
  </si>
  <si>
    <t xml:space="preserve">הצעת מחיר ב' </t>
  </si>
  <si>
    <t xml:space="preserve">הצעת מחיר ג' </t>
  </si>
  <si>
    <t xml:space="preserve">סך עלות הבקשה </t>
  </si>
  <si>
    <t>בקשת מחיר חריג</t>
  </si>
  <si>
    <t>הערות הגוף המבקש</t>
  </si>
  <si>
    <t>אישור כמות</t>
  </si>
  <si>
    <t>כמות מאושרת</t>
  </si>
  <si>
    <t>אישור מחיר חריג</t>
  </si>
  <si>
    <t>תקציב מאושר</t>
  </si>
  <si>
    <t>הערות מנהל/ת התוכנית</t>
  </si>
  <si>
    <t>הערות והסברים לגוף המבקש:</t>
  </si>
  <si>
    <t>הערות והסברים למנהל/ת התכנית:</t>
  </si>
  <si>
    <t>יש לרשום 2 הצעות מחיר לציוד בעלות עד 20,000 ₪ ו-3 הצעות מחיר לסכום גבוה יותר.</t>
  </si>
  <si>
    <t xml:space="preserve">בשלב הראשון מאשרים את כמות הציוד: אם בוחרים "מאושר" הכמות תתעדכן לפי כמות הבקשה, במקרים אחרים - 0. במקרה בחירת "מאושר חלקי" יש לרשום את הכמות המאושרת. </t>
  </si>
  <si>
    <t>התוכנה באופן אוטומטי מחשבת את עלות הציוד לפי ההצעה הזולה.</t>
  </si>
  <si>
    <t>חשוב לציין שכאשר בכל מקום בעמודה "כמות מאושרת" מעדכנים מספרים באופן ידני הנוסחה שרשומה בתא הנבחר נמחקת.</t>
  </si>
  <si>
    <t>אם יש צורך בהזמנת ציוד יקר יותר נא לבחור את ההצעה הרצויה בעמודה "בקשת מחיר חריג" ועלות הציוד תחושב לפי ההצעה הנבחרת.</t>
  </si>
  <si>
    <t>בשלב השני מאשרים מחירים חריגים: אם הגוף בוחר הצעה זולה אין להתייחס לעמודה הזאת. אם ישנה בקשה חריגה אישור הבקשה בוחר מחיר מבוקש. חוסר אישור בוחר את ההצעה הזולה.</t>
  </si>
  <si>
    <t>אם בוחרים ציוד לפי ההצעה הגבוה מהמינימלית יש לתת הסבר בשדה הערות.</t>
  </si>
  <si>
    <t>דירוג אשכול סוציו אקונומי:</t>
  </si>
  <si>
    <t>דו"ח סיכום פרויקט בקשת הצטיידות</t>
  </si>
  <si>
    <t>יש למלא סכום מקסימלי לפי קול קורא:</t>
  </si>
  <si>
    <t>תאריך הגשה:</t>
  </si>
  <si>
    <t>מספר משתתפים בפרויקט:</t>
  </si>
  <si>
    <t>קטגוריית ציוד</t>
  </si>
  <si>
    <t>סה"כ לפרוייקט</t>
  </si>
  <si>
    <t>אחוז מימון מקסימלי לפי דירוג אשכול לאישור הוועדה (לפי אחוז השתתפות בט"ל וללא התחשבות בתקציב הסיוע המקסימלי בקול קורא)</t>
  </si>
  <si>
    <t>גורם מממן</t>
  </si>
  <si>
    <t>אחוז מימון</t>
  </si>
  <si>
    <t xml:space="preserve">סכום מימון </t>
  </si>
  <si>
    <t>אחוז מימון מקסימלי-ביטוח לאומי</t>
  </si>
  <si>
    <t>מימון עצמי</t>
  </si>
  <si>
    <t>סה"כ</t>
  </si>
  <si>
    <t>מימון מקסימלי לפי דירוג אשכול לאישור הוועדה (אחוז השתתפות בט"ל בהתחשב בתקציב הסיוע המקסימלי בקול קורא)</t>
  </si>
  <si>
    <t>סכום מימון מקסימלי-ביטוח לאומי</t>
  </si>
  <si>
    <t>לאישור הוועדה</t>
  </si>
  <si>
    <t>מימון מאושר - הנמוך מבין השניים - אחוז השתתפות  או תקציב סיוע מקסימלי</t>
  </si>
  <si>
    <t>מימון ביטוח לאומי מקסימלי</t>
  </si>
  <si>
    <t>מחשב קומפלט</t>
  </si>
  <si>
    <t>סה"כ ציוד נוסף שלא קיים בתקן</t>
  </si>
  <si>
    <t>סה"כ כולל מע"מ</t>
  </si>
  <si>
    <t>סה"כ ציוד צוות כולל מע"מ</t>
  </si>
  <si>
    <t>חדר צוות טיפולי</t>
  </si>
  <si>
    <t xml:space="preserve"> מס' חדרי המשרד </t>
  </si>
  <si>
    <t xml:space="preserve">פירוט חדרי המשרד כולל עמדת מזכירות </t>
  </si>
  <si>
    <t>תקן ציוד כללי בסיסי למרכזי יום טיפוליים ולמסגרות מזדקנים לאנשים עם מוגבלות: גירסת 3 יולי 2026</t>
  </si>
  <si>
    <t xml:space="preserve">טבלת עזר לחדרי הצוות/ הנחת יסוד לפי גודל המתחם </t>
  </si>
  <si>
    <t>מבקש  הציוד  מתבקש למלא  רק  את  התאים  הממורקרים צהוב.</t>
  </si>
  <si>
    <t>סך בקשת הגוף שאושרה ע"י מנהל/ת התכנית (בש"ח כולל מע"מ)</t>
  </si>
  <si>
    <t>סך בקשת הגוף בשלב 1 (בש"ח כולל מע"מ)</t>
  </si>
  <si>
    <t>סך הוצאה בפועל (בש"ח כולל מע"מ)</t>
  </si>
  <si>
    <t>הערות</t>
  </si>
  <si>
    <t>לפי מספר מקבלי שירות והצוות הטיפולי</t>
  </si>
  <si>
    <t>לפי מספר חדרים</t>
  </si>
  <si>
    <t>כמות תאים לפי מס' אנשים בתוספת 10%</t>
  </si>
  <si>
    <t xml:space="preserve">שולחן מחשב </t>
  </si>
  <si>
    <t xml:space="preserve">שולחן </t>
  </si>
  <si>
    <t xml:space="preserve">כורסא </t>
  </si>
  <si>
    <t>כורסת מנוחה חשמלית</t>
  </si>
  <si>
    <t>לפי 3 לחדר</t>
  </si>
  <si>
    <t xml:space="preserve">מדפים </t>
  </si>
  <si>
    <t>ארון איחסון</t>
  </si>
  <si>
    <t>לפי מספר חדרים בתוספת 30% לחללים משותפים</t>
  </si>
  <si>
    <t xml:space="preserve">לוקרים </t>
  </si>
  <si>
    <t xml:space="preserve">מראה </t>
  </si>
  <si>
    <t xml:space="preserve">שעון קיר </t>
  </si>
  <si>
    <t xml:space="preserve">וילונות חסיני אש </t>
  </si>
  <si>
    <t xml:space="preserve">לפי 6000 ש' לחדר פעילות ובתוספת 50% לחללים משותפים </t>
  </si>
  <si>
    <t xml:space="preserve">כיסא </t>
  </si>
  <si>
    <t xml:space="preserve">מחשב קומפלט </t>
  </si>
  <si>
    <t>מקרר קטן</t>
  </si>
  <si>
    <t>חדר המנהל/ ת</t>
  </si>
  <si>
    <t>עמדת מזכירות</t>
  </si>
  <si>
    <t>שולחן משרדי</t>
  </si>
  <si>
    <t xml:space="preserve">כיסא  </t>
  </si>
  <si>
    <t>אביזרים לחדר משרדי</t>
  </si>
  <si>
    <t>מדפסת משולבת</t>
  </si>
  <si>
    <t>רמה ב' - סט ציוד לסדנאות: גינון עם אדניות מוגבהות/ מוזיקה/ בישול/ אפיה/ בית קפה  (לפי גודל המסגרת)*</t>
  </si>
  <si>
    <t xml:space="preserve">מדפסת משולבת </t>
  </si>
  <si>
    <t>טלוויזיה כולל מגן</t>
  </si>
  <si>
    <t xml:space="preserve">שמשיה  </t>
  </si>
  <si>
    <t xml:space="preserve">פינת ישיבה למרפסת </t>
  </si>
  <si>
    <t>לפי מס' חדרים בתוספת 30% לחללים משותפים</t>
  </si>
  <si>
    <t xml:space="preserve">קטגוריה ב'- חללים משותפים וציוד נוסף </t>
  </si>
  <si>
    <t>סה"כ חדרי צוות במסגרת</t>
  </si>
  <si>
    <t>(לפי גודל המסגרת)</t>
  </si>
  <si>
    <t>כיסא אורחים, לפי מספר חדרים</t>
  </si>
  <si>
    <t>לפי גודל המסגרת</t>
  </si>
  <si>
    <t xml:space="preserve">ציוד הגברה </t>
  </si>
  <si>
    <t>מכונת שטיפת רצפות</t>
  </si>
  <si>
    <t xml:space="preserve">מערכת כריזת חירום </t>
  </si>
  <si>
    <t xml:space="preserve">תיק עזרה ראשונה </t>
  </si>
  <si>
    <t xml:space="preserve">ארון תרופות  </t>
  </si>
  <si>
    <t xml:space="preserve">מכונת כביסה </t>
  </si>
  <si>
    <t>מייבש כביסה</t>
  </si>
  <si>
    <t xml:space="preserve">ארגז כלי עבודה </t>
  </si>
  <si>
    <t xml:space="preserve">סט כלים לתחזוקת גינה  </t>
  </si>
  <si>
    <t>מדפים למחסן לפי גודל המסגרת</t>
  </si>
  <si>
    <t>מדפים</t>
  </si>
  <si>
    <t xml:space="preserve">שירותי עיצוב פנים </t>
  </si>
  <si>
    <t xml:space="preserve">אביזרי עיצוב  </t>
  </si>
  <si>
    <t xml:space="preserve">פינת ישיבה </t>
  </si>
  <si>
    <t>פינת ישיבה ללובי לפי גודל המסגרת</t>
  </si>
  <si>
    <t xml:space="preserve">כסא </t>
  </si>
  <si>
    <t>בהתאם לכמות האנשים במסגרת כולל צוות טיפולי בתוספת  20%</t>
  </si>
  <si>
    <t xml:space="preserve">סט כלי אוכל </t>
  </si>
  <si>
    <t xml:space="preserve">כיריים חשמליות / גז  6 להבות </t>
  </si>
  <si>
    <t xml:space="preserve">תנור אפיה וחימום </t>
  </si>
  <si>
    <t xml:space="preserve">כלי מטבח </t>
  </si>
  <si>
    <t xml:space="preserve">מקרר תעשייתי </t>
  </si>
  <si>
    <t>מקפיא תעשייתי</t>
  </si>
  <si>
    <t>מקרר תעשייתי</t>
  </si>
  <si>
    <t>מקסר מקצועי</t>
  </si>
  <si>
    <t>מתקן/ בר מים</t>
  </si>
  <si>
    <t xml:space="preserve">עגלת הגשה </t>
  </si>
  <si>
    <t xml:space="preserve">עגלת חימום / קרור </t>
  </si>
  <si>
    <t>שולחן כניסה ויציאה למדיח כלים</t>
  </si>
  <si>
    <t>עגלת חימום/ קרור</t>
  </si>
  <si>
    <t>אישור מנהל/ ת התוכנית</t>
  </si>
  <si>
    <t>מגרסת נייר</t>
  </si>
  <si>
    <t>כיריים חשמליות 4 להבות</t>
  </si>
  <si>
    <t>לפי 4 אנשים לשולחן כולל צוות טיפולי</t>
  </si>
  <si>
    <t xml:space="preserve">שלוט פנימי </t>
  </si>
  <si>
    <t>מבקש  הציוד  מתבקש למלא  רק  את  התאים  הממורקרים בצהוב בלבד.</t>
  </si>
  <si>
    <t>מערכת הגברה לפי 5,000 ₪  + מיקרופון לפי 1,000 ₪  בכל חדר פעילות בתוספת 50% בחללים משותפים</t>
  </si>
  <si>
    <t>מטבח מחמם</t>
  </si>
  <si>
    <t>מטבח מבשל</t>
  </si>
  <si>
    <t>2.1    כדי לקבוע תקן  לציוד בסיסי, כאשר המסגרות  עצמן בגדלים  שונים, עם כמות והיקפי  קבוצות שונים  וכמויות שונות של  אנשים, הוחלט לבצע חלוקה למספר קטגוריות עיקריות, כדלקמן:</t>
  </si>
  <si>
    <t>מצלמות אבטחה</t>
  </si>
  <si>
    <t>מערכת קומפלט כולל ציוד ועבודה. התחשיב: הוצאות קבועות 10,000 ₪  +  מספר כיתות כפול 1,500 ₪ כפול 3 לשטחים ציבוריים</t>
  </si>
  <si>
    <t>ציוד סדנאות</t>
  </si>
  <si>
    <t xml:space="preserve">ארון אחסון </t>
  </si>
  <si>
    <t xml:space="preserve">עגלה עם מיכל אשפה </t>
  </si>
  <si>
    <t xml:space="preserve">מנדף </t>
  </si>
  <si>
    <t>קומביסטימר</t>
  </si>
  <si>
    <t xml:space="preserve">קומביסטימר </t>
  </si>
  <si>
    <t xml:space="preserve">מדיח כלים תעשייתי  </t>
  </si>
  <si>
    <t>שולחן נירוסטה לעבודה במטבח</t>
  </si>
  <si>
    <t xml:space="preserve">מיחם מוסדי אוטומטי </t>
  </si>
  <si>
    <t>אביזרים לחדרי שירותים או רחצה</t>
  </si>
  <si>
    <t>כיסא מתכוונן</t>
  </si>
  <si>
    <t>כולל בסיס בטון בגודל כ- 3*2=6 מ"ר</t>
  </si>
  <si>
    <t>בשלב הגשת הבקשה במסגרת הקול קורא עליך לדווח רק את שמות הסדנאות המתוכננות בלבד</t>
  </si>
  <si>
    <t>בשלב מימוש הפרוייקט , במסגרת דוח הפעילות תדרש  להעביר פירוט  הכולל:  שם הסדנה, תכנים, תדירות הפעילות, כמות משתתפים מתוכננת  וכמות והכשרת הצוות המפעיל.</t>
  </si>
  <si>
    <t xml:space="preserve">התקן מאפשר בחירה בין מגוון סדנאות . הסדנאות  תחולקנה ל  2  רמות בהתאם  לעלותן – </t>
  </si>
  <si>
    <t xml:space="preserve">2.3    במידה ותירכש כמות גדולה של פריטי ציוד מאותו סוג, ו/או תבוצע רכישה </t>
  </si>
  <si>
    <t xml:space="preserve">      ציוד לסדנאות- יש לפרט מס' הסדנאות המבוקש ושם הסדנה </t>
  </si>
  <si>
    <t>הציוד לסדנאות יכלול ריהוט מתאים: כיסאות, שולחנות וארונות המותאמים לכמות האנשים בסדנה.</t>
  </si>
  <si>
    <t>הגוף המבקש מתבקש למלא פרטים רק בתאים המסומנים בצבע צהוב. אין לגעת בתאים אחרים.</t>
  </si>
  <si>
    <t>משטחי עבודה למטבח</t>
  </si>
  <si>
    <t>לפי 500 ₪ לאדם כולל צוות טיפולי בתוספת 20%</t>
  </si>
  <si>
    <t>לפי מספר מקבלי שירות כולל צוות טיפולי</t>
  </si>
  <si>
    <t>2 בספטמבר 2026</t>
  </si>
  <si>
    <t>תקן ציוד כללי למרכזי יום טיפוליים ולמסגרות מזדקנים לאנשים עם מוגבלות</t>
  </si>
  <si>
    <t>קביעת תקן ריהוט וציוד כללי, למרכזי יום ולמסגרות למזדקנים עבור אנשים עם מוגבלות:  פיזית, חושית, מוגבלות שכלית  התפתחותית, נפשית ועל הרצף האוטיסטי.</t>
  </si>
  <si>
    <t>*    קטגוריה (גיליון)  א'- ציוד וריהוט לחדרי קבוצות, ולחדרי שרותים :</t>
  </si>
  <si>
    <t xml:space="preserve">*    קטגוריה (גיליון) ב' - ציוד כללי לסדנאות, חללים משותפים וציוד נוסף </t>
  </si>
  <si>
    <t>*    קטגוריה (גיליון) ג' - מטבח וחדר אוכל.</t>
  </si>
  <si>
    <t>*    קטגוריה (גיליון)  ד' -ציוד תעסוקה/ סדנאות.</t>
  </si>
  <si>
    <t>*    קטגוריה (גיליון)  ה' -ציוד צוות.</t>
  </si>
  <si>
    <t>*    קטגוריה (גיליון)  ו' -ציוד נוסף שלא קיים בתקן.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</si>
</sst>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#,##0.00"/>
    <numFmt numFmtId="165" formatCode="m/d/yyyy"/>
    <numFmt numFmtId="166" formatCode="#,###,##0"/>
    <numFmt numFmtId="167" formatCode="_ * #,##0.00_ ;_ * \-#,##0.00_ ;_ * \-??_ ;_ @_ "/>
    <numFmt numFmtId="168" formatCode="#,##0_ ;[Red]\-#,##0\ "/>
    <numFmt numFmtId="169" formatCode="_ * #,##0_ ;_ * \-#,##0_ ;_ * \-??_ ;_ @_ "/>
    <numFmt numFmtId="170" formatCode="dd/mm/yy"/>
    <numFmt numFmtId="171" formatCode="#,##0_);[Red]\(#,##0\)"/>
    <numFmt numFmtId="172" formatCode="&quot;₪ &quot;#,##0"/>
  </numFmts>
  <fonts count="48" x14ac:knownFonts="1">
    <font>
      <sz val="11"/>
      <color theme="1"/>
      <name val="Times New Roman"/>
      <family val="2"/>
      <charset val="177"/>
    </font>
    <font>
      <sz val="10"/>
      <name val="Times New Roman"/>
      <family val="2"/>
      <charset val="1"/>
    </font>
    <font>
      <sz val="10"/>
      <name val="Times New Roman"/>
      <family val="1"/>
      <charset val="1"/>
    </font>
    <font>
      <u/>
      <sz val="11"/>
      <color theme="10"/>
      <name val="Times New Roman"/>
      <family val="2"/>
      <charset val="177"/>
    </font>
    <font>
      <sz val="11"/>
      <name val="Times New Roman"/>
      <family val="1"/>
      <charset val="1"/>
    </font>
    <font>
      <b/>
      <sz val="11"/>
      <name val="Times New Roman"/>
      <family val="1"/>
      <charset val="1"/>
    </font>
    <font>
      <sz val="11"/>
      <name val="Times New Roman"/>
      <family val="2"/>
      <charset val="1"/>
    </font>
    <font>
      <sz val="12"/>
      <name val="Times New Roman"/>
      <family val="1"/>
      <charset val="1"/>
    </font>
    <font>
      <sz val="11"/>
      <color theme="1"/>
      <name val="Times New Roman"/>
      <family val="1"/>
      <charset val="1"/>
    </font>
    <font>
      <b/>
      <sz val="11"/>
      <color theme="1"/>
      <name val="Times New Roman"/>
      <family val="1"/>
      <charset val="1"/>
    </font>
    <font>
      <sz val="11"/>
      <color rgb="FFC00000"/>
      <name val="Times New Roman"/>
      <family val="1"/>
      <charset val="1"/>
    </font>
    <font>
      <sz val="11"/>
      <color theme="10"/>
      <name val="Times New Roman"/>
      <family val="1"/>
      <charset val="1"/>
    </font>
    <font>
      <sz val="11"/>
      <color rgb="FFFF0000"/>
      <name val="Times New Roman"/>
      <family val="1"/>
      <charset val="1"/>
    </font>
    <font>
      <sz val="11"/>
      <color theme="1"/>
      <name val="Calibri"/>
      <family val="2"/>
      <charset val="177"/>
    </font>
    <font>
      <sz val="11"/>
      <color rgb="FF0000CC"/>
      <name val="Calibri"/>
      <family val="2"/>
      <charset val="177"/>
    </font>
    <font>
      <sz val="11"/>
      <color rgb="FF0000CC"/>
      <name val="Times New Roman"/>
      <family val="1"/>
      <charset val="177"/>
    </font>
    <font>
      <sz val="11"/>
      <color theme="1"/>
      <name val="Times New Roman"/>
      <family val="2"/>
      <charset val="1"/>
    </font>
    <font>
      <sz val="11"/>
      <color rgb="FF0000CC"/>
      <name val="Times New Roman"/>
      <family val="1"/>
      <charset val="1"/>
    </font>
    <font>
      <sz val="11"/>
      <color rgb="FF0000FF"/>
      <name val="Times New Roman"/>
      <family val="1"/>
      <charset val="1"/>
    </font>
    <font>
      <sz val="11"/>
      <name val="Times New Roman"/>
      <family val="1"/>
      <charset val="177"/>
    </font>
    <font>
      <sz val="11"/>
      <name val="Cambria"/>
      <family val="1"/>
      <charset val="1"/>
    </font>
    <font>
      <sz val="12"/>
      <name val="Times New Roman"/>
      <family val="2"/>
      <charset val="1"/>
    </font>
    <font>
      <b/>
      <sz val="12"/>
      <name val="Times New Roman"/>
      <family val="1"/>
      <charset val="1"/>
    </font>
    <font>
      <sz val="12"/>
      <color theme="1"/>
      <name val="Times New Roman"/>
      <family val="1"/>
      <charset val="1"/>
    </font>
    <font>
      <b/>
      <sz val="11"/>
      <color rgb="FF800000"/>
      <name val="Times New Roman"/>
      <family val="1"/>
      <charset val="1"/>
    </font>
    <font>
      <sz val="11"/>
      <color theme="1"/>
      <name val="Times New Roman"/>
      <family val="2"/>
      <charset val="177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CC"/>
      <name val="Times New Roman"/>
      <family val="1"/>
    </font>
    <font>
      <b/>
      <sz val="11"/>
      <name val="Times New Roman"/>
      <family val="1"/>
      <charset val="177"/>
    </font>
    <font>
      <b/>
      <sz val="11"/>
      <name val="Times New Roman"/>
      <family val="2"/>
      <charset val="1"/>
    </font>
    <font>
      <b/>
      <sz val="11"/>
      <color theme="1"/>
      <name val="Times New Roman"/>
      <family val="2"/>
      <charset val="177"/>
    </font>
    <font>
      <b/>
      <sz val="11"/>
      <color rgb="FF0000CC"/>
      <name val="Times New Roman"/>
      <family val="1"/>
      <charset val="177"/>
    </font>
    <font>
      <b/>
      <sz val="11"/>
      <color theme="1"/>
      <name val="Calibri"/>
      <family val="2"/>
      <charset val="177"/>
    </font>
    <font>
      <b/>
      <sz val="11"/>
      <name val="Cambria"/>
      <family val="1"/>
      <charset val="1"/>
    </font>
    <font>
      <sz val="11"/>
      <color theme="1"/>
      <name val="Times New Roman"/>
      <family val="1"/>
    </font>
    <font>
      <sz val="11"/>
      <color rgb="FF0000CC"/>
      <name val="Times New Roman"/>
      <family val="1"/>
    </font>
    <font>
      <sz val="11"/>
      <color rgb="FF0000FF"/>
      <name val="Times New Roman"/>
      <family val="1"/>
    </font>
    <font>
      <sz val="12"/>
      <name val="Times New Roman"/>
      <family val="1"/>
    </font>
    <font>
      <sz val="8"/>
      <name val="Times New Roman"/>
      <family val="2"/>
      <charset val="177"/>
    </font>
    <font>
      <b/>
      <sz val="11"/>
      <color theme="1"/>
      <name val="Times New Roman"/>
      <family val="2"/>
      <charset val="1"/>
    </font>
    <font>
      <u/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rgb="FFC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CC"/>
        <bgColor rgb="FFFDEADA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CCFFCC"/>
      </patternFill>
    </fill>
    <fill>
      <patternFill patternType="solid">
        <fgColor rgb="FFFFFFCC"/>
        <bgColor rgb="FFCCFFFF"/>
      </patternFill>
    </fill>
    <fill>
      <patternFill patternType="solid">
        <fgColor theme="4" tint="0.79998168889431442"/>
        <bgColor rgb="FFFFEB9C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167" fontId="25" fillId="0" borderId="0"/>
    <xf numFmtId="9" fontId="25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354">
    <xf numFmtId="0" fontId="0" fillId="0" borderId="0" xfId="0"/>
    <xf numFmtId="0" fontId="4" fillId="0" borderId="0" xfId="0" applyFont="1"/>
    <xf numFmtId="164" fontId="6" fillId="0" borderId="0" xfId="4" applyNumberFormat="1" applyFont="1" applyAlignment="1">
      <alignment horizontal="righ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165" fontId="9" fillId="0" borderId="0" xfId="0" applyNumberFormat="1" applyFont="1"/>
    <xf numFmtId="165" fontId="8" fillId="0" borderId="0" xfId="0" applyNumberFormat="1" applyFont="1"/>
    <xf numFmtId="0" fontId="8" fillId="0" borderId="1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right"/>
    </xf>
    <xf numFmtId="0" fontId="8" fillId="0" borderId="3" xfId="0" applyFont="1" applyBorder="1"/>
    <xf numFmtId="0" fontId="8" fillId="0" borderId="5" xfId="0" applyFont="1" applyBorder="1"/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10" fillId="2" borderId="0" xfId="0" applyFont="1" applyFill="1"/>
    <xf numFmtId="0" fontId="8" fillId="0" borderId="6" xfId="0" applyFont="1" applyBorder="1"/>
    <xf numFmtId="0" fontId="8" fillId="0" borderId="8" xfId="0" applyFont="1" applyBorder="1"/>
    <xf numFmtId="0" fontId="8" fillId="0" borderId="7" xfId="0" applyFont="1" applyBorder="1"/>
    <xf numFmtId="0" fontId="8" fillId="0" borderId="7" xfId="0" applyFont="1" applyBorder="1" applyAlignment="1">
      <alignment horizontal="right"/>
    </xf>
    <xf numFmtId="0" fontId="8" fillId="0" borderId="9" xfId="0" applyFont="1" applyBorder="1"/>
    <xf numFmtId="0" fontId="4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  <xf numFmtId="3" fontId="13" fillId="0" borderId="0" xfId="0" applyNumberFormat="1" applyFont="1" applyAlignment="1">
      <alignment horizontal="right"/>
    </xf>
    <xf numFmtId="0" fontId="14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3" fontId="4" fillId="0" borderId="0" xfId="0" applyNumberFormat="1" applyFont="1" applyAlignment="1">
      <alignment horizontal="right"/>
    </xf>
    <xf numFmtId="0" fontId="1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4" fillId="0" borderId="10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16" fillId="0" borderId="13" xfId="0" applyFont="1" applyBorder="1" applyAlignment="1">
      <alignment horizontal="right"/>
    </xf>
    <xf numFmtId="0" fontId="4" fillId="0" borderId="10" xfId="1" applyNumberFormat="1" applyFont="1" applyBorder="1" applyAlignment="1">
      <alignment horizontal="right" wrapText="1"/>
    </xf>
    <xf numFmtId="0" fontId="17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4" fillId="0" borderId="10" xfId="4" applyFont="1" applyBorder="1" applyAlignment="1">
      <alignment horizontal="right" wrapText="1"/>
    </xf>
    <xf numFmtId="168" fontId="4" fillId="0" borderId="10" xfId="0" applyNumberFormat="1" applyFont="1" applyBorder="1" applyAlignment="1">
      <alignment horizontal="right"/>
    </xf>
    <xf numFmtId="166" fontId="4" fillId="0" borderId="10" xfId="4" applyNumberFormat="1" applyFont="1" applyBorder="1" applyAlignment="1">
      <alignment wrapText="1"/>
    </xf>
    <xf numFmtId="166" fontId="4" fillId="0" borderId="10" xfId="4" applyNumberFormat="1" applyFont="1" applyBorder="1" applyAlignment="1">
      <alignment horizontal="right" wrapText="1"/>
    </xf>
    <xf numFmtId="0" fontId="4" fillId="3" borderId="10" xfId="0" applyFont="1" applyFill="1" applyBorder="1" applyAlignment="1" applyProtection="1">
      <alignment horizontal="right"/>
      <protection locked="0"/>
    </xf>
    <xf numFmtId="0" fontId="4" fillId="3" borderId="10" xfId="0" applyFont="1" applyFill="1" applyBorder="1" applyAlignment="1" applyProtection="1">
      <alignment horizontal="right" wrapText="1"/>
      <protection locked="0"/>
    </xf>
    <xf numFmtId="170" fontId="4" fillId="3" borderId="10" xfId="0" applyNumberFormat="1" applyFont="1" applyFill="1" applyBorder="1" applyAlignment="1" applyProtection="1">
      <alignment horizontal="right"/>
      <protection locked="0"/>
    </xf>
    <xf numFmtId="3" fontId="4" fillId="3" borderId="10" xfId="0" applyNumberFormat="1" applyFont="1" applyFill="1" applyBorder="1" applyAlignment="1" applyProtection="1">
      <alignment horizontal="right"/>
      <protection locked="0"/>
    </xf>
    <xf numFmtId="169" fontId="4" fillId="3" borderId="10" xfId="1" applyNumberFormat="1" applyFont="1" applyFill="1" applyBorder="1" applyAlignment="1" applyProtection="1">
      <alignment horizontal="right"/>
      <protection locked="0"/>
    </xf>
    <xf numFmtId="3" fontId="4" fillId="0" borderId="10" xfId="0" applyNumberFormat="1" applyFont="1" applyBorder="1" applyAlignment="1">
      <alignment horizontal="right"/>
    </xf>
    <xf numFmtId="9" fontId="4" fillId="0" borderId="10" xfId="0" applyNumberFormat="1" applyFont="1" applyBorder="1" applyAlignment="1">
      <alignment horizontal="right"/>
    </xf>
    <xf numFmtId="0" fontId="15" fillId="0" borderId="10" xfId="0" applyFont="1" applyBorder="1" applyAlignment="1">
      <alignment horizontal="right" wrapText="1"/>
    </xf>
    <xf numFmtId="164" fontId="6" fillId="0" borderId="10" xfId="4" applyNumberFormat="1" applyFont="1" applyBorder="1" applyAlignment="1">
      <alignment horizontal="right" wrapText="1"/>
    </xf>
    <xf numFmtId="168" fontId="4" fillId="0" borderId="15" xfId="0" applyNumberFormat="1" applyFont="1" applyBorder="1" applyAlignment="1">
      <alignment horizontal="right"/>
    </xf>
    <xf numFmtId="169" fontId="4" fillId="0" borderId="10" xfId="1" applyNumberFormat="1" applyFont="1" applyBorder="1" applyAlignment="1">
      <alignment horizontal="right"/>
    </xf>
    <xf numFmtId="0" fontId="4" fillId="0" borderId="0" xfId="4" applyFont="1" applyAlignment="1">
      <alignment horizontal="right"/>
    </xf>
    <xf numFmtId="0" fontId="4" fillId="0" borderId="0" xfId="4" applyFont="1" applyAlignment="1">
      <alignment horizontal="right" wrapText="1"/>
    </xf>
    <xf numFmtId="0" fontId="4" fillId="0" borderId="0" xfId="4" applyFont="1" applyAlignment="1">
      <alignment wrapText="1"/>
    </xf>
    <xf numFmtId="0" fontId="6" fillId="0" borderId="11" xfId="0" applyFont="1" applyBorder="1"/>
    <xf numFmtId="0" fontId="4" fillId="0" borderId="12" xfId="0" applyFont="1" applyBorder="1"/>
    <xf numFmtId="164" fontId="6" fillId="0" borderId="10" xfId="4" applyNumberFormat="1" applyFont="1" applyBorder="1" applyAlignment="1">
      <alignment wrapText="1"/>
    </xf>
    <xf numFmtId="168" fontId="4" fillId="0" borderId="10" xfId="0" applyNumberFormat="1" applyFont="1" applyBorder="1"/>
    <xf numFmtId="164" fontId="4" fillId="0" borderId="0" xfId="4" applyNumberFormat="1" applyFont="1" applyAlignment="1">
      <alignment horizontal="right" wrapText="1"/>
    </xf>
    <xf numFmtId="168" fontId="4" fillId="0" borderId="0" xfId="0" applyNumberFormat="1" applyFont="1" applyAlignment="1">
      <alignment horizontal="right"/>
    </xf>
    <xf numFmtId="166" fontId="4" fillId="0" borderId="0" xfId="4" applyNumberFormat="1" applyFont="1" applyAlignment="1">
      <alignment wrapText="1"/>
    </xf>
    <xf numFmtId="166" fontId="4" fillId="0" borderId="0" xfId="4" applyNumberFormat="1" applyFont="1" applyAlignment="1">
      <alignment horizontal="right" wrapText="1"/>
    </xf>
    <xf numFmtId="166" fontId="4" fillId="0" borderId="0" xfId="4" applyNumberFormat="1" applyFont="1" applyAlignment="1">
      <alignment horizontal="right"/>
    </xf>
    <xf numFmtId="169" fontId="4" fillId="0" borderId="0" xfId="1" applyNumberFormat="1" applyFont="1" applyAlignment="1">
      <alignment horizontal="right" wrapText="1"/>
    </xf>
    <xf numFmtId="168" fontId="4" fillId="0" borderId="0" xfId="0" applyNumberFormat="1" applyFont="1"/>
    <xf numFmtId="9" fontId="4" fillId="0" borderId="0" xfId="0" applyNumberFormat="1" applyFont="1" applyAlignment="1">
      <alignment horizontal="right"/>
    </xf>
    <xf numFmtId="0" fontId="6" fillId="0" borderId="0" xfId="4" applyFont="1" applyAlignment="1">
      <alignment horizontal="right" wrapText="1"/>
    </xf>
    <xf numFmtId="164" fontId="19" fillId="0" borderId="0" xfId="4" applyNumberFormat="1" applyFont="1" applyAlignment="1">
      <alignment horizontal="right" wrapText="1"/>
    </xf>
    <xf numFmtId="168" fontId="19" fillId="0" borderId="0" xfId="0" applyNumberFormat="1" applyFont="1" applyAlignment="1">
      <alignment horizontal="right"/>
    </xf>
    <xf numFmtId="166" fontId="19" fillId="0" borderId="0" xfId="4" applyNumberFormat="1" applyFont="1" applyAlignment="1">
      <alignment wrapText="1"/>
    </xf>
    <xf numFmtId="166" fontId="19" fillId="0" borderId="0" xfId="4" applyNumberFormat="1" applyFont="1" applyAlignment="1">
      <alignment horizontal="right" wrapText="1"/>
    </xf>
    <xf numFmtId="166" fontId="19" fillId="0" borderId="0" xfId="4" applyNumberFormat="1" applyFont="1" applyAlignment="1">
      <alignment horizontal="right"/>
    </xf>
    <xf numFmtId="169" fontId="19" fillId="0" borderId="0" xfId="1" applyNumberFormat="1" applyFont="1" applyAlignment="1">
      <alignment horizontal="right" wrapText="1"/>
    </xf>
    <xf numFmtId="0" fontId="19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 wrapText="1"/>
    </xf>
    <xf numFmtId="164" fontId="4" fillId="0" borderId="12" xfId="4" applyNumberFormat="1" applyFont="1" applyBorder="1" applyAlignment="1">
      <alignment horizontal="right"/>
    </xf>
    <xf numFmtId="0" fontId="4" fillId="0" borderId="12" xfId="0" applyFont="1" applyBorder="1" applyAlignment="1">
      <alignment horizontal="right" wrapText="1"/>
    </xf>
    <xf numFmtId="0" fontId="4" fillId="0" borderId="13" xfId="0" applyFont="1" applyBorder="1" applyAlignment="1">
      <alignment horizontal="right" wrapText="1"/>
    </xf>
    <xf numFmtId="164" fontId="6" fillId="0" borderId="11" xfId="4" applyNumberFormat="1" applyFont="1" applyBorder="1" applyAlignment="1">
      <alignment horizontal="right" wrapText="1"/>
    </xf>
    <xf numFmtId="164" fontId="4" fillId="0" borderId="13" xfId="4" applyNumberFormat="1" applyFont="1" applyBorder="1" applyAlignment="1">
      <alignment horizontal="right" wrapText="1"/>
    </xf>
    <xf numFmtId="164" fontId="4" fillId="0" borderId="11" xfId="4" applyNumberFormat="1" applyFont="1" applyBorder="1" applyAlignment="1">
      <alignment horizontal="right"/>
    </xf>
    <xf numFmtId="164" fontId="4" fillId="0" borderId="12" xfId="4" applyNumberFormat="1" applyFont="1" applyBorder="1" applyAlignment="1">
      <alignment horizontal="right" wrapText="1"/>
    </xf>
    <xf numFmtId="49" fontId="8" fillId="0" borderId="10" xfId="1" applyNumberFormat="1" applyFont="1" applyBorder="1" applyAlignment="1">
      <alignment horizontal="right" wrapText="1"/>
    </xf>
    <xf numFmtId="0" fontId="8" fillId="0" borderId="10" xfId="1" applyNumberFormat="1" applyFont="1" applyBorder="1" applyAlignment="1">
      <alignment horizontal="right" wrapText="1"/>
    </xf>
    <xf numFmtId="0" fontId="15" fillId="0" borderId="12" xfId="0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0" fontId="6" fillId="0" borderId="0" xfId="0" applyFont="1"/>
    <xf numFmtId="0" fontId="22" fillId="0" borderId="0" xfId="0" applyFont="1" applyAlignment="1">
      <alignment horizontal="right"/>
    </xf>
    <xf numFmtId="0" fontId="4" fillId="0" borderId="13" xfId="0" applyFont="1" applyBorder="1"/>
    <xf numFmtId="0" fontId="6" fillId="0" borderId="17" xfId="4" applyFont="1" applyBorder="1" applyAlignment="1">
      <alignment wrapText="1"/>
    </xf>
    <xf numFmtId="0" fontId="4" fillId="0" borderId="10" xfId="4" applyFont="1" applyBorder="1" applyAlignment="1">
      <alignment wrapText="1"/>
    </xf>
    <xf numFmtId="164" fontId="6" fillId="0" borderId="10" xfId="4" applyNumberFormat="1" applyFont="1" applyBorder="1" applyAlignment="1">
      <alignment horizontal="right"/>
    </xf>
    <xf numFmtId="0" fontId="4" fillId="0" borderId="10" xfId="0" applyFont="1" applyBorder="1" applyAlignment="1">
      <alignment horizontal="right" wrapText="1" readingOrder="2"/>
    </xf>
    <xf numFmtId="0" fontId="4" fillId="0" borderId="14" xfId="4" applyFont="1" applyBorder="1" applyAlignment="1">
      <alignment wrapText="1"/>
    </xf>
    <xf numFmtId="0" fontId="4" fillId="0" borderId="16" xfId="4" applyFont="1" applyBorder="1" applyAlignment="1">
      <alignment wrapText="1"/>
    </xf>
    <xf numFmtId="0" fontId="6" fillId="0" borderId="0" xfId="4" applyFont="1" applyAlignment="1">
      <alignment wrapText="1"/>
    </xf>
    <xf numFmtId="164" fontId="4" fillId="0" borderId="0" xfId="4" applyNumberFormat="1" applyFont="1" applyAlignment="1">
      <alignment horizontal="right"/>
    </xf>
    <xf numFmtId="164" fontId="6" fillId="0" borderId="10" xfId="0" applyNumberFormat="1" applyFont="1" applyBorder="1" applyAlignment="1">
      <alignment horizontal="right" wrapText="1"/>
    </xf>
    <xf numFmtId="164" fontId="4" fillId="0" borderId="12" xfId="0" applyNumberFormat="1" applyFont="1" applyBorder="1" applyAlignment="1">
      <alignment horizontal="right" wrapText="1"/>
    </xf>
    <xf numFmtId="164" fontId="4" fillId="0" borderId="13" xfId="0" applyNumberFormat="1" applyFont="1" applyBorder="1" applyAlignment="1">
      <alignment horizontal="right" wrapText="1"/>
    </xf>
    <xf numFmtId="0" fontId="4" fillId="0" borderId="10" xfId="0" applyFont="1" applyBorder="1"/>
    <xf numFmtId="3" fontId="4" fillId="0" borderId="18" xfId="0" applyNumberFormat="1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10" xfId="1" applyNumberFormat="1" applyFont="1" applyBorder="1" applyAlignment="1">
      <alignment horizontal="right" wrapText="1"/>
    </xf>
    <xf numFmtId="166" fontId="4" fillId="0" borderId="12" xfId="4" applyNumberFormat="1" applyFont="1" applyBorder="1" applyAlignment="1">
      <alignment wrapText="1"/>
    </xf>
    <xf numFmtId="166" fontId="4" fillId="0" borderId="13" xfId="4" applyNumberFormat="1" applyFont="1" applyBorder="1" applyAlignment="1">
      <alignment wrapText="1"/>
    </xf>
    <xf numFmtId="0" fontId="9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164" fontId="4" fillId="0" borderId="13" xfId="0" applyNumberFormat="1" applyFont="1" applyBorder="1" applyAlignment="1">
      <alignment horizontal="right"/>
    </xf>
    <xf numFmtId="0" fontId="23" fillId="0" borderId="0" xfId="0" applyFont="1"/>
    <xf numFmtId="171" fontId="8" fillId="0" borderId="0" xfId="0" applyNumberFormat="1" applyFont="1" applyAlignment="1">
      <alignment horizontal="right" indent="2"/>
    </xf>
    <xf numFmtId="0" fontId="8" fillId="0" borderId="10" xfId="0" applyFont="1" applyBorder="1" applyAlignment="1">
      <alignment horizontal="right" wrapText="1"/>
    </xf>
    <xf numFmtId="0" fontId="8" fillId="0" borderId="10" xfId="0" applyFont="1" applyBorder="1"/>
    <xf numFmtId="168" fontId="8" fillId="0" borderId="10" xfId="1" applyNumberFormat="1" applyFont="1" applyBorder="1" applyAlignment="1">
      <alignment horizontal="right"/>
    </xf>
    <xf numFmtId="171" fontId="8" fillId="0" borderId="10" xfId="1" applyNumberFormat="1" applyFont="1" applyBorder="1" applyAlignment="1">
      <alignment horizontal="right" indent="2"/>
    </xf>
    <xf numFmtId="0" fontId="8" fillId="0" borderId="0" xfId="0" applyFont="1" applyAlignment="1">
      <alignment horizontal="left"/>
    </xf>
    <xf numFmtId="172" fontId="8" fillId="0" borderId="10" xfId="1" applyNumberFormat="1" applyFont="1" applyBorder="1" applyAlignment="1">
      <alignment horizontal="right"/>
    </xf>
    <xf numFmtId="10" fontId="8" fillId="0" borderId="10" xfId="2" applyNumberFormat="1" applyFont="1" applyBorder="1" applyAlignment="1">
      <alignment horizontal="right"/>
    </xf>
    <xf numFmtId="10" fontId="8" fillId="0" borderId="10" xfId="0" applyNumberFormat="1" applyFont="1" applyBorder="1" applyAlignment="1">
      <alignment horizontal="right"/>
    </xf>
    <xf numFmtId="168" fontId="8" fillId="0" borderId="0" xfId="0" applyNumberFormat="1" applyFont="1" applyAlignment="1">
      <alignment horizontal="right"/>
    </xf>
    <xf numFmtId="9" fontId="8" fillId="0" borderId="0" xfId="0" applyNumberFormat="1" applyFont="1" applyAlignment="1">
      <alignment horizontal="right"/>
    </xf>
    <xf numFmtId="168" fontId="8" fillId="0" borderId="0" xfId="1" applyNumberFormat="1" applyFont="1" applyAlignment="1">
      <alignment horizontal="right"/>
    </xf>
    <xf numFmtId="0" fontId="24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168" fontId="26" fillId="0" borderId="10" xfId="0" applyNumberFormat="1" applyFont="1" applyBorder="1"/>
    <xf numFmtId="168" fontId="27" fillId="0" borderId="10" xfId="0" applyNumberFormat="1" applyFont="1" applyBorder="1"/>
    <xf numFmtId="0" fontId="26" fillId="0" borderId="10" xfId="0" applyFont="1" applyBorder="1"/>
    <xf numFmtId="168" fontId="28" fillId="0" borderId="10" xfId="0" applyNumberFormat="1" applyFont="1" applyBorder="1"/>
    <xf numFmtId="168" fontId="28" fillId="0" borderId="10" xfId="0" applyNumberFormat="1" applyFont="1" applyBorder="1" applyAlignment="1">
      <alignment horizontal="right"/>
    </xf>
    <xf numFmtId="168" fontId="26" fillId="0" borderId="10" xfId="0" applyNumberFormat="1" applyFont="1" applyBorder="1" applyAlignment="1">
      <alignment horizontal="right"/>
    </xf>
    <xf numFmtId="0" fontId="26" fillId="0" borderId="14" xfId="4" applyFont="1" applyBorder="1" applyAlignment="1">
      <alignment horizontal="right" wrapText="1"/>
    </xf>
    <xf numFmtId="164" fontId="26" fillId="0" borderId="15" xfId="4" applyNumberFormat="1" applyFont="1" applyBorder="1" applyAlignment="1">
      <alignment horizontal="right" wrapText="1"/>
    </xf>
    <xf numFmtId="168" fontId="26" fillId="0" borderId="15" xfId="0" applyNumberFormat="1" applyFont="1" applyBorder="1" applyAlignment="1">
      <alignment horizontal="right"/>
    </xf>
    <xf numFmtId="164" fontId="26" fillId="0" borderId="15" xfId="4" applyNumberFormat="1" applyFont="1" applyBorder="1" applyAlignment="1">
      <alignment wrapText="1"/>
    </xf>
    <xf numFmtId="168" fontId="26" fillId="0" borderId="15" xfId="0" applyNumberFormat="1" applyFont="1" applyBorder="1"/>
    <xf numFmtId="0" fontId="30" fillId="0" borderId="0" xfId="0" applyFont="1" applyAlignment="1">
      <alignment horizontal="right"/>
    </xf>
    <xf numFmtId="164" fontId="26" fillId="0" borderId="10" xfId="4" applyNumberFormat="1" applyFont="1" applyBorder="1" applyAlignment="1">
      <alignment horizontal="right"/>
    </xf>
    <xf numFmtId="169" fontId="26" fillId="0" borderId="10" xfId="1" applyNumberFormat="1" applyFont="1" applyBorder="1" applyAlignment="1">
      <alignment horizontal="right" wrapText="1"/>
    </xf>
    <xf numFmtId="164" fontId="26" fillId="0" borderId="10" xfId="4" applyNumberFormat="1" applyFont="1" applyBorder="1" applyAlignment="1">
      <alignment horizontal="right" wrapText="1" readingOrder="2"/>
    </xf>
    <xf numFmtId="168" fontId="26" fillId="0" borderId="10" xfId="0" applyNumberFormat="1" applyFont="1" applyBorder="1" applyAlignment="1">
      <alignment horizontal="right" wrapText="1" readingOrder="2"/>
    </xf>
    <xf numFmtId="169" fontId="26" fillId="0" borderId="10" xfId="1" applyNumberFormat="1" applyFont="1" applyBorder="1" applyAlignment="1">
      <alignment horizontal="right"/>
    </xf>
    <xf numFmtId="3" fontId="26" fillId="0" borderId="10" xfId="0" applyNumberFormat="1" applyFont="1" applyBorder="1" applyAlignment="1">
      <alignment horizontal="right"/>
    </xf>
    <xf numFmtId="9" fontId="26" fillId="0" borderId="10" xfId="0" applyNumberFormat="1" applyFont="1" applyBorder="1" applyAlignment="1">
      <alignment horizontal="right"/>
    </xf>
    <xf numFmtId="0" fontId="26" fillId="0" borderId="10" xfId="0" applyFont="1" applyBorder="1" applyAlignment="1">
      <alignment horizontal="right" wrapText="1"/>
    </xf>
    <xf numFmtId="0" fontId="31" fillId="0" borderId="10" xfId="0" applyFont="1" applyBorder="1" applyAlignment="1">
      <alignment horizontal="right" wrapText="1"/>
    </xf>
    <xf numFmtId="0" fontId="26" fillId="0" borderId="10" xfId="0" applyFont="1" applyBorder="1" applyAlignment="1">
      <alignment horizontal="right"/>
    </xf>
    <xf numFmtId="0" fontId="26" fillId="0" borderId="0" xfId="0" applyFont="1" applyAlignment="1">
      <alignment horizontal="right"/>
    </xf>
    <xf numFmtId="0" fontId="26" fillId="0" borderId="10" xfId="4" applyFont="1" applyBorder="1" applyAlignment="1">
      <alignment horizontal="right" wrapText="1"/>
    </xf>
    <xf numFmtId="164" fontId="26" fillId="0" borderId="10" xfId="4" applyNumberFormat="1" applyFont="1" applyBorder="1" applyAlignment="1">
      <alignment horizontal="right" wrapText="1"/>
    </xf>
    <xf numFmtId="166" fontId="26" fillId="0" borderId="10" xfId="4" applyNumberFormat="1" applyFont="1" applyBorder="1" applyAlignment="1">
      <alignment wrapText="1"/>
    </xf>
    <xf numFmtId="166" fontId="26" fillId="0" borderId="10" xfId="4" applyNumberFormat="1" applyFont="1" applyBorder="1" applyAlignment="1">
      <alignment horizontal="right" wrapText="1"/>
    </xf>
    <xf numFmtId="166" fontId="26" fillId="0" borderId="10" xfId="4" applyNumberFormat="1" applyFont="1" applyBorder="1" applyAlignment="1">
      <alignment horizontal="right"/>
    </xf>
    <xf numFmtId="0" fontId="32" fillId="0" borderId="11" xfId="0" applyFont="1" applyBorder="1" applyAlignment="1">
      <alignment horizontal="right"/>
    </xf>
    <xf numFmtId="164" fontId="33" fillId="0" borderId="12" xfId="4" applyNumberFormat="1" applyFont="1" applyBorder="1" applyAlignment="1">
      <alignment horizontal="right" wrapText="1"/>
    </xf>
    <xf numFmtId="164" fontId="32" fillId="0" borderId="12" xfId="4" applyNumberFormat="1" applyFont="1" applyBorder="1" applyAlignment="1">
      <alignment horizontal="right" wrapText="1"/>
    </xf>
    <xf numFmtId="164" fontId="32" fillId="0" borderId="13" xfId="4" applyNumberFormat="1" applyFont="1" applyBorder="1" applyAlignment="1">
      <alignment horizontal="right" wrapText="1"/>
    </xf>
    <xf numFmtId="168" fontId="5" fillId="0" borderId="10" xfId="0" applyNumberFormat="1" applyFont="1" applyBorder="1" applyAlignment="1">
      <alignment horizontal="right"/>
    </xf>
    <xf numFmtId="169" fontId="32" fillId="0" borderId="9" xfId="1" applyNumberFormat="1" applyFont="1" applyBorder="1"/>
    <xf numFmtId="168" fontId="5" fillId="0" borderId="10" xfId="0" applyNumberFormat="1" applyFont="1" applyBorder="1"/>
    <xf numFmtId="169" fontId="32" fillId="0" borderId="11" xfId="1" applyNumberFormat="1" applyFont="1" applyBorder="1" applyAlignment="1">
      <alignment horizontal="right"/>
    </xf>
    <xf numFmtId="169" fontId="32" fillId="0" borderId="13" xfId="1" applyNumberFormat="1" applyFont="1" applyBorder="1" applyAlignment="1">
      <alignment horizontal="right"/>
    </xf>
    <xf numFmtId="0" fontId="34" fillId="0" borderId="0" xfId="0" applyFont="1" applyAlignment="1">
      <alignment horizontal="right"/>
    </xf>
    <xf numFmtId="168" fontId="32" fillId="0" borderId="10" xfId="0" applyNumberFormat="1" applyFont="1" applyBorder="1" applyAlignment="1">
      <alignment horizontal="right"/>
    </xf>
    <xf numFmtId="169" fontId="32" fillId="0" borderId="12" xfId="1" applyNumberFormat="1" applyFont="1" applyBorder="1" applyAlignment="1">
      <alignment horizontal="right" wrapText="1"/>
    </xf>
    <xf numFmtId="169" fontId="32" fillId="0" borderId="12" xfId="1" applyNumberFormat="1" applyFont="1" applyBorder="1" applyAlignment="1">
      <alignment horizontal="right"/>
    </xf>
    <xf numFmtId="166" fontId="32" fillId="0" borderId="12" xfId="4" applyNumberFormat="1" applyFont="1" applyBorder="1" applyAlignment="1">
      <alignment horizontal="right" wrapText="1"/>
    </xf>
    <xf numFmtId="9" fontId="32" fillId="0" borderId="10" xfId="0" applyNumberFormat="1" applyFont="1" applyBorder="1" applyAlignment="1">
      <alignment horizontal="right"/>
    </xf>
    <xf numFmtId="9" fontId="32" fillId="0" borderId="11" xfId="0" applyNumberFormat="1" applyFont="1" applyBorder="1" applyAlignment="1">
      <alignment horizontal="right" wrapText="1"/>
    </xf>
    <xf numFmtId="0" fontId="35" fillId="0" borderId="12" xfId="0" applyFont="1" applyBorder="1" applyAlignment="1">
      <alignment horizontal="right" wrapText="1"/>
    </xf>
    <xf numFmtId="0" fontId="5" fillId="0" borderId="13" xfId="0" applyFont="1" applyBorder="1" applyAlignment="1">
      <alignment horizontal="right"/>
    </xf>
    <xf numFmtId="0" fontId="32" fillId="0" borderId="0" xfId="0" applyFont="1" applyAlignment="1">
      <alignment horizontal="right"/>
    </xf>
    <xf numFmtId="0" fontId="36" fillId="0" borderId="0" xfId="0" applyFont="1" applyAlignment="1">
      <alignment horizontal="right"/>
    </xf>
    <xf numFmtId="3" fontId="5" fillId="0" borderId="10" xfId="0" applyNumberFormat="1" applyFont="1" applyBorder="1" applyAlignment="1">
      <alignment horizontal="right"/>
    </xf>
    <xf numFmtId="0" fontId="5" fillId="0" borderId="10" xfId="4" applyFont="1" applyBorder="1" applyAlignment="1">
      <alignment wrapText="1"/>
    </xf>
    <xf numFmtId="164" fontId="33" fillId="0" borderId="10" xfId="4" applyNumberFormat="1" applyFont="1" applyBorder="1" applyAlignment="1">
      <alignment horizontal="right"/>
    </xf>
    <xf numFmtId="166" fontId="5" fillId="0" borderId="10" xfId="4" applyNumberFormat="1" applyFont="1" applyBorder="1" applyAlignment="1">
      <alignment wrapText="1"/>
    </xf>
    <xf numFmtId="0" fontId="37" fillId="0" borderId="0" xfId="0" applyFont="1"/>
    <xf numFmtId="168" fontId="5" fillId="0" borderId="15" xfId="0" applyNumberFormat="1" applyFont="1" applyBorder="1" applyAlignment="1">
      <alignment horizontal="right"/>
    </xf>
    <xf numFmtId="164" fontId="5" fillId="0" borderId="10" xfId="4" applyNumberFormat="1" applyFont="1" applyBorder="1" applyAlignment="1">
      <alignment horizontal="right"/>
    </xf>
    <xf numFmtId="169" fontId="5" fillId="0" borderId="10" xfId="1" applyNumberFormat="1" applyFont="1" applyBorder="1" applyAlignment="1">
      <alignment horizontal="right" wrapText="1"/>
    </xf>
    <xf numFmtId="164" fontId="5" fillId="0" borderId="10" xfId="4" applyNumberFormat="1" applyFont="1" applyBorder="1" applyAlignment="1">
      <alignment horizontal="right" wrapText="1" readingOrder="2"/>
    </xf>
    <xf numFmtId="168" fontId="5" fillId="0" borderId="10" xfId="0" applyNumberFormat="1" applyFont="1" applyBorder="1" applyAlignment="1">
      <alignment horizontal="right" wrapText="1" readingOrder="2"/>
    </xf>
    <xf numFmtId="9" fontId="5" fillId="0" borderId="10" xfId="0" applyNumberFormat="1" applyFont="1" applyBorder="1" applyAlignment="1">
      <alignment horizontal="right"/>
    </xf>
    <xf numFmtId="0" fontId="5" fillId="0" borderId="10" xfId="0" applyFont="1" applyBorder="1" applyAlignment="1">
      <alignment horizontal="right" wrapText="1"/>
    </xf>
    <xf numFmtId="0" fontId="35" fillId="0" borderId="10" xfId="0" applyFont="1" applyBorder="1" applyAlignment="1">
      <alignment horizontal="right" wrapText="1"/>
    </xf>
    <xf numFmtId="0" fontId="5" fillId="0" borderId="10" xfId="0" applyFont="1" applyBorder="1" applyAlignment="1">
      <alignment horizontal="right"/>
    </xf>
    <xf numFmtId="0" fontId="5" fillId="0" borderId="11" xfId="0" applyFont="1" applyBorder="1"/>
    <xf numFmtId="164" fontId="5" fillId="0" borderId="12" xfId="4" applyNumberFormat="1" applyFont="1" applyBorder="1" applyAlignment="1">
      <alignment horizontal="right" wrapText="1"/>
    </xf>
    <xf numFmtId="164" fontId="5" fillId="0" borderId="12" xfId="4" applyNumberFormat="1" applyFont="1" applyBorder="1" applyAlignment="1">
      <alignment horizontal="center" wrapText="1"/>
    </xf>
    <xf numFmtId="164" fontId="5" fillId="0" borderId="13" xfId="4" applyNumberFormat="1" applyFont="1" applyBorder="1" applyAlignment="1">
      <alignment horizontal="center"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164" fontId="33" fillId="0" borderId="12" xfId="4" applyNumberFormat="1" applyFont="1" applyBorder="1" applyAlignment="1">
      <alignment horizontal="right"/>
    </xf>
    <xf numFmtId="164" fontId="5" fillId="0" borderId="12" xfId="4" applyNumberFormat="1" applyFont="1" applyBorder="1" applyAlignment="1">
      <alignment horizontal="center"/>
    </xf>
    <xf numFmtId="166" fontId="5" fillId="0" borderId="13" xfId="4" applyNumberFormat="1" applyFont="1" applyBorder="1" applyAlignment="1">
      <alignment wrapText="1"/>
    </xf>
    <xf numFmtId="166" fontId="5" fillId="0" borderId="12" xfId="4" applyNumberFormat="1" applyFont="1" applyBorder="1" applyAlignment="1">
      <alignment wrapText="1"/>
    </xf>
    <xf numFmtId="0" fontId="26" fillId="0" borderId="0" xfId="0" applyFont="1"/>
    <xf numFmtId="0" fontId="34" fillId="0" borderId="0" xfId="0" applyFont="1"/>
    <xf numFmtId="170" fontId="8" fillId="0" borderId="0" xfId="0" applyNumberFormat="1" applyFont="1" applyAlignment="1">
      <alignment horizontal="right"/>
    </xf>
    <xf numFmtId="0" fontId="30" fillId="0" borderId="10" xfId="0" applyFont="1" applyBorder="1" applyAlignment="1">
      <alignment horizontal="right"/>
    </xf>
    <xf numFmtId="168" fontId="30" fillId="0" borderId="10" xfId="1" applyNumberFormat="1" applyFont="1" applyBorder="1" applyAlignment="1">
      <alignment horizontal="right"/>
    </xf>
    <xf numFmtId="10" fontId="30" fillId="0" borderId="10" xfId="0" applyNumberFormat="1" applyFont="1" applyBorder="1" applyAlignment="1">
      <alignment horizontal="right"/>
    </xf>
    <xf numFmtId="0" fontId="38" fillId="0" borderId="10" xfId="0" applyFont="1" applyBorder="1" applyAlignment="1">
      <alignment horizontal="right"/>
    </xf>
    <xf numFmtId="168" fontId="38" fillId="0" borderId="10" xfId="1" applyNumberFormat="1" applyFont="1" applyBorder="1" applyAlignment="1">
      <alignment horizontal="right"/>
    </xf>
    <xf numFmtId="0" fontId="38" fillId="0" borderId="10" xfId="0" applyFont="1" applyBorder="1" applyAlignment="1">
      <alignment horizontal="right" wrapText="1"/>
    </xf>
    <xf numFmtId="10" fontId="38" fillId="0" borderId="10" xfId="0" applyNumberFormat="1" applyFont="1" applyBorder="1" applyAlignment="1">
      <alignment horizontal="right"/>
    </xf>
    <xf numFmtId="0" fontId="26" fillId="0" borderId="10" xfId="4" applyFont="1" applyBorder="1" applyAlignment="1">
      <alignment wrapText="1"/>
    </xf>
    <xf numFmtId="0" fontId="30" fillId="0" borderId="0" xfId="0" applyFont="1"/>
    <xf numFmtId="0" fontId="30" fillId="0" borderId="11" xfId="0" applyFont="1" applyBorder="1"/>
    <xf numFmtId="0" fontId="30" fillId="0" borderId="12" xfId="0" applyFont="1" applyBorder="1" applyAlignment="1">
      <alignment horizontal="right"/>
    </xf>
    <xf numFmtId="0" fontId="30" fillId="0" borderId="12" xfId="0" applyFont="1" applyBorder="1" applyAlignment="1">
      <alignment horizontal="center"/>
    </xf>
    <xf numFmtId="0" fontId="30" fillId="0" borderId="13" xfId="0" applyFont="1" applyBorder="1" applyAlignment="1">
      <alignment horizontal="center"/>
    </xf>
    <xf numFmtId="168" fontId="30" fillId="0" borderId="10" xfId="0" applyNumberFormat="1" applyFont="1" applyBorder="1" applyAlignment="1">
      <alignment horizontal="right"/>
    </xf>
    <xf numFmtId="168" fontId="30" fillId="0" borderId="11" xfId="0" applyNumberFormat="1" applyFont="1" applyBorder="1" applyAlignment="1">
      <alignment horizontal="right"/>
    </xf>
    <xf numFmtId="168" fontId="30" fillId="0" borderId="13" xfId="0" applyNumberFormat="1" applyFont="1" applyBorder="1" applyAlignment="1">
      <alignment horizontal="right"/>
    </xf>
    <xf numFmtId="171" fontId="30" fillId="0" borderId="0" xfId="0" applyNumberFormat="1" applyFont="1"/>
    <xf numFmtId="171" fontId="30" fillId="0" borderId="10" xfId="0" applyNumberFormat="1" applyFont="1" applyBorder="1" applyAlignment="1">
      <alignment horizontal="right"/>
    </xf>
    <xf numFmtId="171" fontId="30" fillId="0" borderId="10" xfId="0" applyNumberFormat="1" applyFont="1" applyBorder="1" applyAlignment="1">
      <alignment horizontal="center"/>
    </xf>
    <xf numFmtId="171" fontId="30" fillId="0" borderId="10" xfId="0" applyNumberFormat="1" applyFont="1" applyBorder="1"/>
    <xf numFmtId="171" fontId="30" fillId="0" borderId="10" xfId="0" applyNumberFormat="1" applyFont="1" applyBorder="1" applyAlignment="1">
      <alignment horizontal="right" indent="2"/>
    </xf>
    <xf numFmtId="0" fontId="5" fillId="0" borderId="11" xfId="0" applyFont="1" applyBorder="1" applyAlignment="1">
      <alignment horizontal="left"/>
    </xf>
    <xf numFmtId="0" fontId="38" fillId="0" borderId="0" xfId="0" applyFont="1"/>
    <xf numFmtId="0" fontId="27" fillId="0" borderId="0" xfId="0" applyFont="1"/>
    <xf numFmtId="0" fontId="38" fillId="0" borderId="12" xfId="0" applyFont="1" applyBorder="1" applyAlignment="1">
      <alignment horizontal="right"/>
    </xf>
    <xf numFmtId="0" fontId="38" fillId="0" borderId="13" xfId="0" applyFont="1" applyBorder="1" applyAlignment="1">
      <alignment horizontal="right"/>
    </xf>
    <xf numFmtId="0" fontId="39" fillId="0" borderId="10" xfId="0" applyFont="1" applyBorder="1" applyAlignment="1">
      <alignment horizontal="right" wrapText="1"/>
    </xf>
    <xf numFmtId="0" fontId="27" fillId="0" borderId="10" xfId="4" applyFont="1" applyBorder="1" applyAlignment="1">
      <alignment wrapText="1"/>
    </xf>
    <xf numFmtId="0" fontId="27" fillId="0" borderId="10" xfId="0" applyFont="1" applyBorder="1" applyAlignment="1">
      <alignment horizontal="right"/>
    </xf>
    <xf numFmtId="3" fontId="27" fillId="0" borderId="10" xfId="0" applyNumberFormat="1" applyFont="1" applyBorder="1" applyAlignment="1">
      <alignment horizontal="right"/>
    </xf>
    <xf numFmtId="166" fontId="27" fillId="0" borderId="10" xfId="4" applyNumberFormat="1" applyFont="1" applyBorder="1" applyAlignment="1">
      <alignment wrapText="1"/>
    </xf>
    <xf numFmtId="0" fontId="27" fillId="3" borderId="10" xfId="0" applyFont="1" applyFill="1" applyBorder="1" applyAlignment="1" applyProtection="1">
      <alignment horizontal="right"/>
      <protection locked="0"/>
    </xf>
    <xf numFmtId="0" fontId="27" fillId="3" borderId="10" xfId="0" applyFont="1" applyFill="1" applyBorder="1" applyAlignment="1" applyProtection="1">
      <alignment horizontal="right" wrapText="1"/>
      <protection locked="0"/>
    </xf>
    <xf numFmtId="170" fontId="27" fillId="3" borderId="10" xfId="0" applyNumberFormat="1" applyFont="1" applyFill="1" applyBorder="1" applyAlignment="1" applyProtection="1">
      <alignment horizontal="right"/>
      <protection locked="0"/>
    </xf>
    <xf numFmtId="3" fontId="27" fillId="3" borderId="10" xfId="0" applyNumberFormat="1" applyFont="1" applyFill="1" applyBorder="1" applyAlignment="1" applyProtection="1">
      <alignment horizontal="right"/>
      <protection locked="0"/>
    </xf>
    <xf numFmtId="169" fontId="27" fillId="3" borderId="10" xfId="1" applyNumberFormat="1" applyFont="1" applyFill="1" applyBorder="1" applyAlignment="1" applyProtection="1">
      <alignment horizontal="right"/>
      <protection locked="0"/>
    </xf>
    <xf numFmtId="9" fontId="27" fillId="0" borderId="10" xfId="0" applyNumberFormat="1" applyFont="1" applyBorder="1" applyAlignment="1">
      <alignment horizontal="right"/>
    </xf>
    <xf numFmtId="0" fontId="26" fillId="0" borderId="10" xfId="0" applyFont="1" applyBorder="1" applyAlignment="1">
      <alignment horizontal="right" vertical="center"/>
    </xf>
    <xf numFmtId="3" fontId="27" fillId="0" borderId="18" xfId="0" applyNumberFormat="1" applyFont="1" applyBorder="1" applyAlignment="1">
      <alignment horizontal="right"/>
    </xf>
    <xf numFmtId="1" fontId="26" fillId="0" borderId="10" xfId="0" applyNumberFormat="1" applyFont="1" applyBorder="1" applyAlignment="1">
      <alignment horizontal="right" vertical="center"/>
    </xf>
    <xf numFmtId="166" fontId="4" fillId="4" borderId="10" xfId="4" applyNumberFormat="1" applyFont="1" applyFill="1" applyBorder="1" applyAlignment="1" applyProtection="1">
      <alignment wrapText="1"/>
      <protection locked="0"/>
    </xf>
    <xf numFmtId="0" fontId="29" fillId="3" borderId="10" xfId="0" applyFont="1" applyFill="1" applyBorder="1" applyAlignment="1" applyProtection="1">
      <alignment horizontal="right" wrapText="1"/>
      <protection locked="0"/>
    </xf>
    <xf numFmtId="169" fontId="8" fillId="5" borderId="18" xfId="1" applyNumberFormat="1" applyFont="1" applyFill="1" applyBorder="1" applyAlignment="1" applyProtection="1">
      <alignment horizontal="right"/>
      <protection locked="0"/>
    </xf>
    <xf numFmtId="169" fontId="8" fillId="5" borderId="10" xfId="1" applyNumberFormat="1" applyFont="1" applyFill="1" applyBorder="1" applyAlignment="1" applyProtection="1">
      <alignment horizontal="right" wrapText="1"/>
      <protection locked="0"/>
    </xf>
    <xf numFmtId="169" fontId="8" fillId="5" borderId="10" xfId="1" applyNumberFormat="1" applyFont="1" applyFill="1" applyBorder="1" applyProtection="1">
      <protection locked="0"/>
    </xf>
    <xf numFmtId="169" fontId="8" fillId="5" borderId="4" xfId="1" applyNumberFormat="1" applyFont="1" applyFill="1" applyBorder="1" applyAlignment="1" applyProtection="1">
      <alignment horizontal="right"/>
      <protection locked="0"/>
    </xf>
    <xf numFmtId="169" fontId="8" fillId="5" borderId="15" xfId="1" applyNumberFormat="1" applyFont="1" applyFill="1" applyBorder="1" applyAlignment="1" applyProtection="1">
      <alignment horizontal="right"/>
      <protection locked="0"/>
    </xf>
    <xf numFmtId="0" fontId="27" fillId="0" borderId="10" xfId="0" applyFont="1" applyBorder="1"/>
    <xf numFmtId="1" fontId="27" fillId="0" borderId="10" xfId="0" applyNumberFormat="1" applyFont="1" applyBorder="1"/>
    <xf numFmtId="3" fontId="27" fillId="0" borderId="10" xfId="4" applyNumberFormat="1" applyFont="1" applyBorder="1" applyAlignment="1">
      <alignment wrapText="1"/>
    </xf>
    <xf numFmtId="0" fontId="41" fillId="0" borderId="0" xfId="0" applyFont="1"/>
    <xf numFmtId="0" fontId="41" fillId="0" borderId="0" xfId="0" applyFont="1" applyAlignment="1">
      <alignment horizontal="right"/>
    </xf>
    <xf numFmtId="171" fontId="27" fillId="0" borderId="0" xfId="1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71" fontId="27" fillId="0" borderId="0" xfId="0" applyNumberFormat="1" applyFont="1" applyAlignment="1">
      <alignment horizontal="right" indent="2"/>
    </xf>
    <xf numFmtId="0" fontId="27" fillId="0" borderId="10" xfId="0" applyFont="1" applyBorder="1" applyAlignment="1" applyProtection="1">
      <alignment horizontal="right"/>
      <protection locked="0"/>
    </xf>
    <xf numFmtId="0" fontId="27" fillId="0" borderId="10" xfId="0" applyFont="1" applyBorder="1" applyAlignment="1" applyProtection="1">
      <alignment horizontal="right" wrapText="1"/>
      <protection locked="0"/>
    </xf>
    <xf numFmtId="170" fontId="27" fillId="0" borderId="10" xfId="0" applyNumberFormat="1" applyFont="1" applyBorder="1" applyAlignment="1" applyProtection="1">
      <alignment horizontal="right"/>
      <protection locked="0"/>
    </xf>
    <xf numFmtId="3" fontId="27" fillId="0" borderId="10" xfId="0" applyNumberFormat="1" applyFont="1" applyBorder="1" applyAlignment="1" applyProtection="1">
      <alignment horizontal="right"/>
      <protection locked="0"/>
    </xf>
    <xf numFmtId="0" fontId="8" fillId="0" borderId="10" xfId="1" applyNumberFormat="1" applyFont="1" applyBorder="1" applyAlignment="1">
      <alignment horizontal="right"/>
    </xf>
    <xf numFmtId="0" fontId="6" fillId="0" borderId="10" xfId="4" applyFont="1" applyBorder="1" applyAlignment="1">
      <alignment wrapText="1"/>
    </xf>
    <xf numFmtId="0" fontId="8" fillId="0" borderId="10" xfId="0" applyFont="1" applyBorder="1" applyAlignment="1">
      <alignment horizontal="left" wrapText="1"/>
    </xf>
    <xf numFmtId="0" fontId="10" fillId="0" borderId="10" xfId="0" applyFont="1" applyBorder="1" applyAlignment="1">
      <alignment horizontal="right" wrapText="1"/>
    </xf>
    <xf numFmtId="0" fontId="8" fillId="0" borderId="10" xfId="0" applyFont="1" applyBorder="1" applyAlignment="1">
      <alignment wrapText="1"/>
    </xf>
    <xf numFmtId="171" fontId="8" fillId="0" borderId="10" xfId="0" applyNumberFormat="1" applyFont="1" applyBorder="1" applyAlignment="1">
      <alignment horizontal="right" wrapText="1"/>
    </xf>
    <xf numFmtId="0" fontId="27" fillId="0" borderId="10" xfId="1" applyNumberFormat="1" applyFont="1" applyBorder="1" applyAlignment="1">
      <alignment horizontal="right" wrapText="1"/>
    </xf>
    <xf numFmtId="0" fontId="38" fillId="0" borderId="10" xfId="1" applyNumberFormat="1" applyFont="1" applyBorder="1" applyAlignment="1">
      <alignment horizontal="right"/>
    </xf>
    <xf numFmtId="0" fontId="38" fillId="0" borderId="10" xfId="1" applyNumberFormat="1" applyFont="1" applyBorder="1" applyAlignment="1">
      <alignment horizontal="right" wrapText="1"/>
    </xf>
    <xf numFmtId="49" fontId="38" fillId="0" borderId="10" xfId="1" applyNumberFormat="1" applyFont="1" applyBorder="1" applyAlignment="1">
      <alignment horizontal="right" wrapText="1"/>
    </xf>
    <xf numFmtId="0" fontId="40" fillId="0" borderId="10" xfId="0" applyFont="1" applyBorder="1" applyAlignment="1">
      <alignment horizontal="right" wrapText="1"/>
    </xf>
    <xf numFmtId="0" fontId="27" fillId="0" borderId="11" xfId="0" applyFont="1" applyBorder="1" applyAlignment="1">
      <alignment horizontal="right"/>
    </xf>
    <xf numFmtId="0" fontId="27" fillId="0" borderId="12" xfId="0" applyFont="1" applyBorder="1"/>
    <xf numFmtId="0" fontId="27" fillId="0" borderId="13" xfId="0" applyFont="1" applyBorder="1"/>
    <xf numFmtId="0" fontId="27" fillId="0" borderId="11" xfId="0" applyFont="1" applyBorder="1"/>
    <xf numFmtId="0" fontId="27" fillId="0" borderId="17" xfId="4" applyFont="1" applyBorder="1" applyAlignment="1">
      <alignment wrapText="1"/>
    </xf>
    <xf numFmtId="164" fontId="27" fillId="0" borderId="10" xfId="4" applyNumberFormat="1" applyFont="1" applyBorder="1" applyAlignment="1">
      <alignment horizontal="right" wrapText="1"/>
    </xf>
    <xf numFmtId="170" fontId="8" fillId="5" borderId="7" xfId="0" applyNumberFormat="1" applyFont="1" applyFill="1" applyBorder="1" applyAlignment="1" applyProtection="1">
      <alignment horizontal="right"/>
      <protection locked="0"/>
    </xf>
    <xf numFmtId="0" fontId="8" fillId="5" borderId="7" xfId="0" applyFont="1" applyFill="1" applyBorder="1" applyAlignment="1" applyProtection="1">
      <alignment horizontal="right"/>
      <protection locked="0"/>
    </xf>
    <xf numFmtId="0" fontId="11" fillId="5" borderId="7" xfId="3" applyFont="1" applyFill="1" applyBorder="1" applyAlignment="1" applyProtection="1">
      <alignment horizontal="right"/>
      <protection locked="0"/>
    </xf>
    <xf numFmtId="0" fontId="4" fillId="5" borderId="10" xfId="0" applyFont="1" applyFill="1" applyBorder="1"/>
    <xf numFmtId="166" fontId="6" fillId="5" borderId="0" xfId="4" applyNumberFormat="1" applyFont="1" applyFill="1" applyAlignment="1">
      <alignment horizontal="right"/>
    </xf>
    <xf numFmtId="166" fontId="4" fillId="5" borderId="10" xfId="4" applyNumberFormat="1" applyFont="1" applyFill="1" applyBorder="1" applyAlignment="1" applyProtection="1">
      <alignment wrapText="1"/>
      <protection locked="0"/>
    </xf>
    <xf numFmtId="166" fontId="4" fillId="5" borderId="10" xfId="4" applyNumberFormat="1" applyFont="1" applyFill="1" applyBorder="1" applyAlignment="1" applyProtection="1">
      <alignment horizontal="right" wrapText="1"/>
      <protection locked="0"/>
    </xf>
    <xf numFmtId="0" fontId="8" fillId="0" borderId="13" xfId="0" applyFont="1" applyBorder="1" applyAlignment="1">
      <alignment horizontal="right"/>
    </xf>
    <xf numFmtId="3" fontId="8" fillId="0" borderId="11" xfId="0" applyNumberFormat="1" applyFont="1" applyBorder="1" applyAlignment="1">
      <alignment horizontal="right"/>
    </xf>
    <xf numFmtId="0" fontId="12" fillId="0" borderId="13" xfId="0" applyFont="1" applyBorder="1" applyAlignment="1">
      <alignment horizontal="right"/>
    </xf>
    <xf numFmtId="3" fontId="30" fillId="0" borderId="11" xfId="0" applyNumberFormat="1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7" fillId="0" borderId="0" xfId="0" applyFont="1" applyAlignment="1">
      <alignment horizontal="left"/>
    </xf>
    <xf numFmtId="164" fontId="4" fillId="0" borderId="10" xfId="4" applyNumberFormat="1" applyFont="1" applyBorder="1" applyAlignment="1">
      <alignment horizontal="right" wrapText="1"/>
    </xf>
    <xf numFmtId="168" fontId="27" fillId="0" borderId="10" xfId="0" applyNumberFormat="1" applyFont="1" applyBorder="1" applyAlignment="1">
      <alignment horizontal="right"/>
    </xf>
    <xf numFmtId="0" fontId="4" fillId="4" borderId="10" xfId="0" applyFont="1" applyFill="1" applyBorder="1" applyAlignment="1" applyProtection="1">
      <alignment horizontal="right"/>
      <protection locked="0"/>
    </xf>
    <xf numFmtId="0" fontId="4" fillId="4" borderId="10" xfId="0" applyFont="1" applyFill="1" applyBorder="1" applyAlignment="1" applyProtection="1">
      <alignment horizontal="right" wrapText="1"/>
      <protection locked="0"/>
    </xf>
    <xf numFmtId="170" fontId="4" fillId="4" borderId="10" xfId="0" applyNumberFormat="1" applyFont="1" applyFill="1" applyBorder="1" applyAlignment="1" applyProtection="1">
      <alignment horizontal="right"/>
      <protection locked="0"/>
    </xf>
    <xf numFmtId="3" fontId="4" fillId="4" borderId="10" xfId="0" applyNumberFormat="1" applyFont="1" applyFill="1" applyBorder="1" applyAlignment="1" applyProtection="1">
      <alignment horizontal="right"/>
      <protection locked="0"/>
    </xf>
    <xf numFmtId="169" fontId="4" fillId="4" borderId="10" xfId="1" applyNumberFormat="1" applyFont="1" applyFill="1" applyBorder="1" applyAlignment="1" applyProtection="1">
      <alignment horizontal="right"/>
      <protection locked="0"/>
    </xf>
    <xf numFmtId="1" fontId="27" fillId="0" borderId="10" xfId="0" applyNumberFormat="1" applyFont="1" applyBorder="1" applyAlignment="1">
      <alignment horizontal="right" vertical="center"/>
    </xf>
    <xf numFmtId="0" fontId="27" fillId="0" borderId="12" xfId="0" applyFont="1" applyBorder="1" applyAlignment="1">
      <alignment horizontal="right"/>
    </xf>
    <xf numFmtId="166" fontId="27" fillId="0" borderId="11" xfId="4" applyNumberFormat="1" applyFont="1" applyBorder="1" applyAlignment="1">
      <alignment horizontal="right" wrapText="1"/>
    </xf>
    <xf numFmtId="166" fontId="27" fillId="0" borderId="13" xfId="4" applyNumberFormat="1" applyFont="1" applyBorder="1" applyAlignment="1">
      <alignment horizontal="right" wrapText="1"/>
    </xf>
    <xf numFmtId="0" fontId="27" fillId="0" borderId="10" xfId="0" applyFont="1" applyBorder="1" applyAlignment="1">
      <alignment horizontal="right" wrapText="1" readingOrder="2"/>
    </xf>
    <xf numFmtId="166" fontId="27" fillId="5" borderId="10" xfId="4" applyNumberFormat="1" applyFont="1" applyFill="1" applyBorder="1" applyAlignment="1" applyProtection="1">
      <alignment wrapText="1"/>
      <protection locked="0"/>
    </xf>
    <xf numFmtId="166" fontId="27" fillId="5" borderId="10" xfId="4" applyNumberFormat="1" applyFont="1" applyFill="1" applyBorder="1" applyAlignment="1" applyProtection="1">
      <alignment horizontal="right" wrapText="1"/>
      <protection locked="0"/>
    </xf>
    <xf numFmtId="166" fontId="12" fillId="5" borderId="10" xfId="4" applyNumberFormat="1" applyFont="1" applyFill="1" applyBorder="1" applyAlignment="1" applyProtection="1">
      <alignment horizontal="right" wrapText="1"/>
      <protection locked="0"/>
    </xf>
    <xf numFmtId="169" fontId="4" fillId="4" borderId="10" xfId="1" applyNumberFormat="1" applyFont="1" applyFill="1" applyBorder="1" applyAlignment="1" applyProtection="1">
      <alignment horizontal="right" wrapText="1"/>
      <protection locked="0"/>
    </xf>
    <xf numFmtId="169" fontId="4" fillId="6" borderId="10" xfId="1" applyNumberFormat="1" applyFont="1" applyFill="1" applyBorder="1" applyAlignment="1" applyProtection="1">
      <alignment horizontal="right" wrapText="1"/>
      <protection locked="0"/>
    </xf>
    <xf numFmtId="169" fontId="27" fillId="6" borderId="10" xfId="1" applyNumberFormat="1" applyFont="1" applyFill="1" applyBorder="1" applyAlignment="1" applyProtection="1">
      <alignment horizontal="right" wrapText="1"/>
      <protection locked="0"/>
    </xf>
    <xf numFmtId="164" fontId="27" fillId="0" borderId="10" xfId="4" applyNumberFormat="1" applyFont="1" applyBorder="1" applyAlignment="1">
      <alignment horizontal="right"/>
    </xf>
    <xf numFmtId="171" fontId="30" fillId="0" borderId="11" xfId="0" applyNumberFormat="1" applyFont="1" applyBorder="1"/>
    <xf numFmtId="168" fontId="4" fillId="0" borderId="15" xfId="0" applyNumberFormat="1" applyFont="1" applyBorder="1"/>
    <xf numFmtId="164" fontId="33" fillId="0" borderId="10" xfId="4" applyNumberFormat="1" applyFont="1" applyBorder="1" applyAlignment="1">
      <alignment horizontal="right" wrapText="1"/>
    </xf>
    <xf numFmtId="171" fontId="43" fillId="0" borderId="12" xfId="0" applyNumberFormat="1" applyFont="1" applyBorder="1"/>
    <xf numFmtId="171" fontId="9" fillId="0" borderId="12" xfId="0" applyNumberFormat="1" applyFont="1" applyBorder="1"/>
    <xf numFmtId="171" fontId="9" fillId="0" borderId="13" xfId="0" applyNumberFormat="1" applyFont="1" applyBorder="1"/>
    <xf numFmtId="0" fontId="5" fillId="0" borderId="16" xfId="4" applyFont="1" applyBorder="1" applyAlignment="1">
      <alignment wrapText="1"/>
    </xf>
    <xf numFmtId="0" fontId="26" fillId="0" borderId="18" xfId="0" applyFont="1" applyBorder="1"/>
    <xf numFmtId="0" fontId="8" fillId="0" borderId="11" xfId="0" applyFont="1" applyBorder="1"/>
    <xf numFmtId="0" fontId="8" fillId="0" borderId="12" xfId="0" applyFont="1" applyBorder="1" applyAlignment="1">
      <alignment horizontal="center"/>
    </xf>
    <xf numFmtId="171" fontId="12" fillId="0" borderId="12" xfId="0" applyNumberFormat="1" applyFont="1" applyBorder="1" applyAlignment="1">
      <alignment horizontal="right" indent="2"/>
    </xf>
    <xf numFmtId="0" fontId="8" fillId="0" borderId="13" xfId="0" applyFont="1" applyBorder="1"/>
    <xf numFmtId="0" fontId="4" fillId="7" borderId="10" xfId="0" applyFont="1" applyFill="1" applyBorder="1" applyAlignment="1" applyProtection="1">
      <alignment horizontal="right"/>
      <protection locked="0"/>
    </xf>
    <xf numFmtId="0" fontId="4" fillId="7" borderId="10" xfId="0" applyFont="1" applyFill="1" applyBorder="1" applyAlignment="1" applyProtection="1">
      <alignment horizontal="center"/>
      <protection locked="0"/>
    </xf>
    <xf numFmtId="0" fontId="4" fillId="7" borderId="10" xfId="0" applyFont="1" applyFill="1" applyBorder="1" applyProtection="1">
      <protection locked="0"/>
    </xf>
    <xf numFmtId="0" fontId="4" fillId="7" borderId="10" xfId="0" applyFont="1" applyFill="1" applyBorder="1" applyAlignment="1" applyProtection="1">
      <alignment horizontal="right" wrapText="1"/>
      <protection locked="0"/>
    </xf>
    <xf numFmtId="164" fontId="6" fillId="0" borderId="10" xfId="10" applyNumberFormat="1" applyFont="1" applyBorder="1" applyAlignment="1">
      <alignment horizontal="right" wrapText="1"/>
    </xf>
    <xf numFmtId="0" fontId="27" fillId="0" borderId="0" xfId="0" applyFont="1" applyAlignment="1">
      <alignment horizontal="right" readingOrder="2"/>
    </xf>
    <xf numFmtId="0" fontId="26" fillId="0" borderId="0" xfId="0" applyFont="1" applyAlignment="1">
      <alignment horizontal="right" readingOrder="2"/>
    </xf>
    <xf numFmtId="0" fontId="44" fillId="0" borderId="0" xfId="0" applyFont="1" applyAlignment="1">
      <alignment horizontal="right" readingOrder="2"/>
    </xf>
    <xf numFmtId="0" fontId="27" fillId="5" borderId="0" xfId="0" applyFont="1" applyFill="1"/>
    <xf numFmtId="0" fontId="45" fillId="0" borderId="0" xfId="0" applyFont="1" applyAlignment="1">
      <alignment horizontal="right"/>
    </xf>
    <xf numFmtId="165" fontId="38" fillId="0" borderId="0" xfId="0" applyNumberFormat="1" applyFont="1"/>
    <xf numFmtId="3" fontId="30" fillId="0" borderId="10" xfId="0" applyNumberFormat="1" applyFont="1" applyBorder="1" applyAlignment="1">
      <alignment horizontal="right"/>
    </xf>
    <xf numFmtId="0" fontId="4" fillId="0" borderId="10" xfId="0" applyFont="1" applyBorder="1" applyAlignment="1">
      <alignment horizontal="right" vertical="center"/>
    </xf>
    <xf numFmtId="164" fontId="27" fillId="0" borderId="0" xfId="4" applyNumberFormat="1" applyFont="1" applyAlignment="1">
      <alignment horizontal="right"/>
    </xf>
    <xf numFmtId="0" fontId="46" fillId="0" borderId="0" xfId="0" applyFont="1" applyAlignment="1">
      <alignment horizontal="right"/>
    </xf>
    <xf numFmtId="171" fontId="7" fillId="4" borderId="10" xfId="0" applyNumberFormat="1" applyFont="1" applyFill="1" applyBorder="1" applyAlignment="1" applyProtection="1">
      <alignment horizontal="right"/>
      <protection locked="0"/>
    </xf>
    <xf numFmtId="0" fontId="47" fillId="0" borderId="0" xfId="0" applyFont="1"/>
    <xf numFmtId="0" fontId="27" fillId="0" borderId="0" xfId="0" applyFont="1" applyFill="1"/>
    <xf numFmtId="0" fontId="9" fillId="0" borderId="4" xfId="0" applyFont="1" applyBorder="1" applyAlignment="1">
      <alignment horizontal="center"/>
    </xf>
  </cellXfs>
  <cellStyles count="11">
    <cellStyle name="Comma" xfId="1" builtinId="3"/>
    <cellStyle name="Normal" xfId="0" builtinId="0"/>
    <cellStyle name="Normal 2" xfId="4" xr:uid="{00000000-0005-0000-0000-000006000000}"/>
    <cellStyle name="Normal 2 2" xfId="5" xr:uid="{00000000-0005-0000-0000-000007000000}"/>
    <cellStyle name="Normal 2 3" xfId="10" xr:uid="{EB58442F-1085-4F6D-835F-4A2E772E701B}"/>
    <cellStyle name="Normal 3" xfId="6" xr:uid="{00000000-0005-0000-0000-000008000000}"/>
    <cellStyle name="Normal 3 2" xfId="7" xr:uid="{00000000-0005-0000-0000-000009000000}"/>
    <cellStyle name="Normal 3 3" xfId="8" xr:uid="{00000000-0005-0000-0000-00000A000000}"/>
    <cellStyle name="Percent" xfId="2" builtinId="5"/>
    <cellStyle name="היפר-קישור" xfId="3" builtinId="8"/>
    <cellStyle name="היפר-קישור 2" xfId="9" xr:uid="{00000000-0005-0000-0000-00000B000000}"/>
  </cellStyles>
  <dxfs count="89">
    <dxf>
      <font>
        <b/>
        <strike val="0"/>
        <color rgb="FFFF0000"/>
      </font>
    </dxf>
    <dxf>
      <font>
        <color rgb="FF9C0006"/>
      </font>
    </dxf>
    <dxf>
      <font>
        <b/>
        <strike val="0"/>
        <color rgb="FFFF0000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b/>
        <color rgb="FF9C0006"/>
      </font>
      <fill>
        <patternFill>
          <bgColor rgb="FFFFC000"/>
        </patternFill>
      </fill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FEB9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C6E8"/>
      <rgbColor rgb="FF000080"/>
      <rgbColor rgb="FFFF00FF"/>
      <rgbColor rgb="FFFFFF66"/>
      <rgbColor rgb="FF00FFFF"/>
      <rgbColor rgb="FF800080"/>
      <rgbColor rgb="FF9C0006"/>
      <rgbColor rgb="FF008080"/>
      <rgbColor rgb="FF0000CC"/>
      <rgbColor rgb="FF00CCFF"/>
      <rgbColor rgb="FFFDEADA"/>
      <rgbColor rgb="FFCCFFCC"/>
      <rgbColor rgb="FFFFFF99"/>
      <rgbColor rgb="FFBDD7EE"/>
      <rgbColor rgb="FFFF99CC"/>
      <rgbColor rgb="FFCC99FF"/>
      <rgbColor rgb="FFFFC7CE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000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0000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0</xdr:row>
      <xdr:rowOff>0</xdr:rowOff>
    </xdr:from>
    <xdr:to>
      <xdr:col>9</xdr:col>
      <xdr:colOff>161925</xdr:colOff>
      <xdr:row>5</xdr:row>
      <xdr:rowOff>9525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CF8AA98-EA57-4157-8569-50471C3F21E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38009950" y="0"/>
          <a:ext cx="952500" cy="86677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 />
</file>

<file path=xl/worksheets/_rels/sheet7.xml.rels>&#65279;<?xml version="1.0" encoding="utf-8" standalone="yes"?>
<Relationships xmlns="http://schemas.openxmlformats.org/package/2006/relationships" />
</file>

<file path=xl/worksheets/_rels/sheet9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80"/>
  <sheetViews>
    <sheetView showGridLines="0" rightToLeft="1" tabSelected="1" zoomScale="80" zoomScaleNormal="80" workbookViewId="0">
      <selection activeCell="C75" sqref="C75"/>
    </sheetView>
  </sheetViews>
  <sheetFormatPr defaultColWidth="9" defaultRowHeight="13.8" x14ac:dyDescent="0.25"/>
  <cols>
    <col min="1" max="1" width="4.88671875" style="352" customWidth="1"/>
    <col min="2" max="4" width="9" style="238"/>
    <col min="5" max="5" width="13.77734375" style="238" customWidth="1"/>
    <col min="6" max="7" width="9" style="238"/>
    <col min="8" max="8" width="10.109375" style="238" customWidth="1"/>
    <col min="9" max="16384" width="9" style="238"/>
  </cols>
  <sheetData>
    <row r="3" spans="2:7" x14ac:dyDescent="0.25">
      <c r="B3" s="341" t="s">
        <v>344</v>
      </c>
      <c r="C3" s="340"/>
      <c r="D3" s="340"/>
      <c r="E3" s="340"/>
      <c r="F3" s="340"/>
      <c r="G3" s="340"/>
    </row>
    <row r="4" spans="2:7" x14ac:dyDescent="0.25">
      <c r="B4" s="340" t="s">
        <v>0</v>
      </c>
      <c r="C4" s="340"/>
      <c r="D4" s="340"/>
      <c r="E4" s="340" t="s">
        <v>343</v>
      </c>
      <c r="F4" s="340"/>
      <c r="G4" s="340"/>
    </row>
    <row r="5" spans="2:7" x14ac:dyDescent="0.25">
      <c r="B5" s="342" t="s">
        <v>1</v>
      </c>
    </row>
    <row r="6" spans="2:7" x14ac:dyDescent="0.25">
      <c r="B6" s="340" t="s">
        <v>2</v>
      </c>
    </row>
    <row r="7" spans="2:7" x14ac:dyDescent="0.25">
      <c r="B7" s="340" t="s">
        <v>3</v>
      </c>
    </row>
    <row r="8" spans="2:7" x14ac:dyDescent="0.25">
      <c r="B8" s="340" t="s">
        <v>4</v>
      </c>
    </row>
    <row r="9" spans="2:7" x14ac:dyDescent="0.25">
      <c r="B9" s="340" t="s">
        <v>5</v>
      </c>
    </row>
    <row r="10" spans="2:7" x14ac:dyDescent="0.25">
      <c r="B10" s="340" t="s">
        <v>6</v>
      </c>
    </row>
    <row r="11" spans="2:7" x14ac:dyDescent="0.25">
      <c r="B11" s="340" t="s">
        <v>7</v>
      </c>
    </row>
    <row r="12" spans="2:7" x14ac:dyDescent="0.25">
      <c r="B12" s="340" t="s">
        <v>8</v>
      </c>
    </row>
    <row r="13" spans="2:7" x14ac:dyDescent="0.25">
      <c r="B13" s="342" t="s">
        <v>9</v>
      </c>
    </row>
    <row r="14" spans="2:7" x14ac:dyDescent="0.25">
      <c r="B14" s="340" t="s">
        <v>345</v>
      </c>
    </row>
    <row r="15" spans="2:7" x14ac:dyDescent="0.25">
      <c r="B15" s="340" t="s">
        <v>10</v>
      </c>
    </row>
    <row r="16" spans="2:7" x14ac:dyDescent="0.25">
      <c r="B16" s="340" t="s">
        <v>11</v>
      </c>
    </row>
    <row r="17" spans="2:2" x14ac:dyDescent="0.25">
      <c r="B17" s="340" t="s">
        <v>12</v>
      </c>
    </row>
    <row r="18" spans="2:2" x14ac:dyDescent="0.25">
      <c r="B18" s="340" t="s">
        <v>13</v>
      </c>
    </row>
    <row r="19" spans="2:2" x14ac:dyDescent="0.25">
      <c r="B19" s="340" t="s">
        <v>14</v>
      </c>
    </row>
    <row r="20" spans="2:2" x14ac:dyDescent="0.25">
      <c r="B20" s="340" t="s">
        <v>15</v>
      </c>
    </row>
    <row r="21" spans="2:2" x14ac:dyDescent="0.25">
      <c r="B21" s="342" t="s">
        <v>16</v>
      </c>
    </row>
    <row r="22" spans="2:2" x14ac:dyDescent="0.25">
      <c r="B22" s="340" t="s">
        <v>318</v>
      </c>
    </row>
    <row r="23" spans="2:2" x14ac:dyDescent="0.25">
      <c r="B23" s="340"/>
    </row>
    <row r="24" spans="2:2" x14ac:dyDescent="0.25">
      <c r="B24" s="340" t="s">
        <v>346</v>
      </c>
    </row>
    <row r="25" spans="2:2" x14ac:dyDescent="0.25">
      <c r="B25" s="340" t="s">
        <v>17</v>
      </c>
    </row>
    <row r="26" spans="2:2" x14ac:dyDescent="0.25">
      <c r="B26" s="340"/>
    </row>
    <row r="27" spans="2:2" x14ac:dyDescent="0.25">
      <c r="B27" s="340" t="s">
        <v>347</v>
      </c>
    </row>
    <row r="28" spans="2:2" x14ac:dyDescent="0.25">
      <c r="B28" s="340" t="s">
        <v>18</v>
      </c>
    </row>
    <row r="29" spans="2:2" x14ac:dyDescent="0.25">
      <c r="B29" s="340" t="s">
        <v>19</v>
      </c>
    </row>
    <row r="30" spans="2:2" x14ac:dyDescent="0.25">
      <c r="B30" s="340" t="s">
        <v>20</v>
      </c>
    </row>
    <row r="31" spans="2:2" x14ac:dyDescent="0.25">
      <c r="B31" s="340" t="s">
        <v>21</v>
      </c>
    </row>
    <row r="32" spans="2:2" x14ac:dyDescent="0.25">
      <c r="B32" s="340" t="s">
        <v>22</v>
      </c>
    </row>
    <row r="33" spans="2:3" x14ac:dyDescent="0.25">
      <c r="B33" s="340"/>
    </row>
    <row r="34" spans="2:3" x14ac:dyDescent="0.25">
      <c r="B34" s="340" t="s">
        <v>348</v>
      </c>
    </row>
    <row r="35" spans="2:3" x14ac:dyDescent="0.25">
      <c r="B35" s="340" t="s">
        <v>23</v>
      </c>
    </row>
    <row r="36" spans="2:3" x14ac:dyDescent="0.25">
      <c r="B36" s="340"/>
      <c r="C36" s="238" t="s">
        <v>24</v>
      </c>
    </row>
    <row r="37" spans="2:3" x14ac:dyDescent="0.25">
      <c r="B37" s="340"/>
      <c r="C37" s="238" t="s">
        <v>25</v>
      </c>
    </row>
    <row r="38" spans="2:3" x14ac:dyDescent="0.25">
      <c r="B38" s="340"/>
      <c r="C38" s="238" t="s">
        <v>26</v>
      </c>
    </row>
    <row r="39" spans="2:3" x14ac:dyDescent="0.25">
      <c r="B39" s="340" t="s">
        <v>29</v>
      </c>
    </row>
    <row r="40" spans="2:3" x14ac:dyDescent="0.25">
      <c r="B40" s="340" t="s">
        <v>30</v>
      </c>
    </row>
    <row r="41" spans="2:3" x14ac:dyDescent="0.25">
      <c r="B41" s="238" t="s">
        <v>32</v>
      </c>
    </row>
    <row r="42" spans="2:3" x14ac:dyDescent="0.25">
      <c r="B42" s="340"/>
    </row>
    <row r="43" spans="2:3" x14ac:dyDescent="0.25">
      <c r="B43" s="340" t="s">
        <v>349</v>
      </c>
    </row>
    <row r="44" spans="2:3" x14ac:dyDescent="0.25">
      <c r="B44" s="340"/>
      <c r="C44" s="348" t="s">
        <v>333</v>
      </c>
    </row>
    <row r="45" spans="2:3" x14ac:dyDescent="0.25">
      <c r="B45" s="340"/>
      <c r="C45" s="348" t="s">
        <v>334</v>
      </c>
    </row>
    <row r="46" spans="2:3" x14ac:dyDescent="0.25">
      <c r="B46" s="340"/>
      <c r="C46" s="238" t="s">
        <v>335</v>
      </c>
    </row>
    <row r="47" spans="2:3" x14ac:dyDescent="0.25">
      <c r="B47" s="340"/>
      <c r="C47" s="238" t="s">
        <v>35</v>
      </c>
    </row>
    <row r="48" spans="2:3" x14ac:dyDescent="0.25">
      <c r="B48" s="340"/>
      <c r="C48" s="238" t="s">
        <v>36</v>
      </c>
    </row>
    <row r="49" spans="2:3" x14ac:dyDescent="0.25">
      <c r="B49" s="340"/>
      <c r="C49" s="238" t="s">
        <v>37</v>
      </c>
    </row>
    <row r="50" spans="2:3" x14ac:dyDescent="0.25">
      <c r="B50" s="340"/>
      <c r="C50" s="238" t="s">
        <v>338</v>
      </c>
    </row>
    <row r="51" spans="2:3" x14ac:dyDescent="0.25">
      <c r="B51" s="340"/>
      <c r="C51" s="238" t="s">
        <v>38</v>
      </c>
    </row>
    <row r="52" spans="2:3" x14ac:dyDescent="0.25">
      <c r="B52" s="340"/>
    </row>
    <row r="53" spans="2:3" x14ac:dyDescent="0.25">
      <c r="B53" s="340" t="s">
        <v>350</v>
      </c>
    </row>
    <row r="54" spans="2:3" x14ac:dyDescent="0.25">
      <c r="B54" s="340"/>
    </row>
    <row r="55" spans="2:3" x14ac:dyDescent="0.25">
      <c r="B55" s="340" t="s">
        <v>351</v>
      </c>
    </row>
    <row r="56" spans="2:3" ht="15" customHeight="1" x14ac:dyDescent="0.3">
      <c r="B56" s="340"/>
      <c r="C56" s="265" t="s">
        <v>28</v>
      </c>
    </row>
    <row r="57" spans="2:3" x14ac:dyDescent="0.25">
      <c r="B57" s="340"/>
    </row>
    <row r="58" spans="2:3" x14ac:dyDescent="0.25">
      <c r="B58" s="340" t="s">
        <v>31</v>
      </c>
    </row>
    <row r="60" spans="2:3" x14ac:dyDescent="0.25">
      <c r="B60" s="340" t="s">
        <v>33</v>
      </c>
    </row>
    <row r="61" spans="2:3" x14ac:dyDescent="0.25">
      <c r="B61" s="340"/>
      <c r="C61" s="238" t="s">
        <v>34</v>
      </c>
    </row>
    <row r="62" spans="2:3" x14ac:dyDescent="0.25">
      <c r="B62" s="340"/>
    </row>
    <row r="63" spans="2:3" x14ac:dyDescent="0.25">
      <c r="B63" s="340" t="s">
        <v>336</v>
      </c>
    </row>
    <row r="64" spans="2:3" x14ac:dyDescent="0.25">
      <c r="B64" s="340"/>
      <c r="C64" s="238" t="s">
        <v>39</v>
      </c>
    </row>
    <row r="65" spans="2:9" x14ac:dyDescent="0.25">
      <c r="B65" s="340"/>
    </row>
    <row r="66" spans="2:9" x14ac:dyDescent="0.25">
      <c r="B66" s="342" t="s">
        <v>40</v>
      </c>
    </row>
    <row r="67" spans="2:9" x14ac:dyDescent="0.25">
      <c r="B67" s="340" t="s">
        <v>41</v>
      </c>
    </row>
    <row r="68" spans="2:9" x14ac:dyDescent="0.25">
      <c r="B68" s="340"/>
      <c r="C68" s="238" t="s">
        <v>42</v>
      </c>
    </row>
    <row r="69" spans="2:9" x14ac:dyDescent="0.25">
      <c r="B69" s="340"/>
      <c r="C69" s="238" t="s">
        <v>43</v>
      </c>
    </row>
    <row r="70" spans="2:9" x14ac:dyDescent="0.25">
      <c r="B70" s="340"/>
      <c r="C70" s="238" t="s">
        <v>337</v>
      </c>
    </row>
    <row r="71" spans="2:9" x14ac:dyDescent="0.25">
      <c r="B71" s="340" t="s">
        <v>44</v>
      </c>
    </row>
    <row r="72" spans="2:9" x14ac:dyDescent="0.25">
      <c r="B72" s="340" t="s">
        <v>45</v>
      </c>
    </row>
    <row r="73" spans="2:9" x14ac:dyDescent="0.25">
      <c r="B73" s="340" t="s">
        <v>46</v>
      </c>
    </row>
    <row r="74" spans="2:9" x14ac:dyDescent="0.25">
      <c r="B74" s="340" t="s">
        <v>47</v>
      </c>
    </row>
    <row r="75" spans="2:9" x14ac:dyDescent="0.25">
      <c r="B75" s="340" t="s">
        <v>48</v>
      </c>
    </row>
    <row r="76" spans="2:9" x14ac:dyDescent="0.25">
      <c r="B76" s="340" t="s">
        <v>49</v>
      </c>
    </row>
    <row r="77" spans="2:9" x14ac:dyDescent="0.25">
      <c r="B77" s="340" t="s">
        <v>50</v>
      </c>
    </row>
    <row r="78" spans="2:9" x14ac:dyDescent="0.25">
      <c r="B78" s="340"/>
    </row>
    <row r="79" spans="2:9" x14ac:dyDescent="0.25">
      <c r="B79" s="238" t="s">
        <v>51</v>
      </c>
    </row>
    <row r="80" spans="2:9" x14ac:dyDescent="0.25">
      <c r="B80" s="343" t="s">
        <v>314</v>
      </c>
      <c r="C80" s="343"/>
      <c r="D80" s="343"/>
      <c r="E80" s="343"/>
      <c r="F80" s="343"/>
      <c r="G80" s="343"/>
      <c r="H80" s="343"/>
      <c r="I80" s="343"/>
    </row>
  </sheetData>
  <sheetProtection algorithmName="SHA-512" hashValue="uGLVulLn6xsT/Xfmwi5nbpWE0GPxmjDtu3mK52mH4Sv17TRafgAalA5RPC6UmXvC+BWvOPHnZmHkrDEODnMncQ==" saltValue="2GyD1wcpKsC/iDSXFmR/ZA==" spinCount="100000" sheet="1" formatCells="0" formatColumns="0" formatRows="0"/>
  <pageMargins left="0.70833333333333304" right="0.31527777777777799" top="0.74791666666666701" bottom="0.74791666666666701" header="0.511811023622047" footer="0.511811023622047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44"/>
  <sheetViews>
    <sheetView showGridLines="0" rightToLeft="1" topLeftCell="A7" zoomScale="80" zoomScaleNormal="80" workbookViewId="0">
      <selection activeCell="G35" sqref="G35"/>
    </sheetView>
  </sheetViews>
  <sheetFormatPr defaultColWidth="9.109375" defaultRowHeight="13.8" x14ac:dyDescent="0.25"/>
  <cols>
    <col min="1" max="1" width="3.44140625" style="4" customWidth="1"/>
    <col min="2" max="2" width="5" style="4" customWidth="1"/>
    <col min="3" max="3" width="10.109375" style="4" customWidth="1"/>
    <col min="4" max="5" width="9.109375" style="4"/>
    <col min="6" max="6" width="4.21875" style="4" customWidth="1"/>
    <col min="7" max="7" width="24.88671875" style="5" customWidth="1"/>
    <col min="8" max="8" width="13.6640625" style="4" customWidth="1"/>
    <col min="9" max="9" width="10.21875" style="4" customWidth="1"/>
    <col min="10" max="10" width="9.109375" style="4"/>
    <col min="11" max="11" width="15.5546875" style="4" customWidth="1"/>
    <col min="12" max="16384" width="9.109375" style="4"/>
  </cols>
  <sheetData>
    <row r="1" spans="2:9" x14ac:dyDescent="0.25">
      <c r="B1" s="6" t="str">
        <f>פתיח!$B$3&amp;": גירסת "&amp;פתיח!$E$4</f>
        <v>תקן ציוד כללי למרכזי יום טיפוליים ולמסגרות מזדקנים לאנשים עם מוגבלות: גירסת 2 בספטמבר 2026</v>
      </c>
      <c r="I1" s="7"/>
    </row>
    <row r="2" spans="2:9" x14ac:dyDescent="0.25">
      <c r="B2" s="8"/>
      <c r="C2" s="9"/>
      <c r="D2" s="9"/>
      <c r="E2" s="9"/>
      <c r="F2" s="9"/>
      <c r="G2" s="10"/>
      <c r="H2" s="9"/>
      <c r="I2" s="11"/>
    </row>
    <row r="3" spans="2:9" ht="18" customHeight="1" x14ac:dyDescent="0.25">
      <c r="B3" s="353" t="s">
        <v>52</v>
      </c>
      <c r="C3" s="353"/>
      <c r="D3" s="353"/>
      <c r="E3" s="353"/>
      <c r="F3" s="353"/>
      <c r="G3" s="353"/>
      <c r="H3" s="353"/>
      <c r="I3" s="353"/>
    </row>
    <row r="4" spans="2:9" ht="18" customHeight="1" x14ac:dyDescent="0.25">
      <c r="B4" s="12" t="s">
        <v>53</v>
      </c>
      <c r="C4" s="13"/>
      <c r="D4" s="13"/>
      <c r="E4" s="13"/>
      <c r="F4" s="13"/>
      <c r="H4" s="13"/>
      <c r="I4" s="14"/>
    </row>
    <row r="5" spans="2:9" x14ac:dyDescent="0.25">
      <c r="B5" s="12"/>
      <c r="C5" s="5" t="s">
        <v>54</v>
      </c>
      <c r="D5" s="5"/>
      <c r="E5" s="5"/>
      <c r="F5" s="5"/>
      <c r="G5" s="291"/>
      <c r="H5" s="15" t="str">
        <f>IF(G5="","יש למלא","")</f>
        <v>יש למלא</v>
      </c>
      <c r="I5" s="16"/>
    </row>
    <row r="6" spans="2:9" x14ac:dyDescent="0.25">
      <c r="B6" s="12"/>
      <c r="I6" s="16"/>
    </row>
    <row r="7" spans="2:9" x14ac:dyDescent="0.25">
      <c r="B7" s="12"/>
      <c r="C7" s="5" t="s">
        <v>55</v>
      </c>
      <c r="E7" s="5"/>
      <c r="F7" s="5"/>
      <c r="G7" s="292"/>
      <c r="H7" s="15" t="str">
        <f>IF(G7="","יש למלא","")</f>
        <v>יש למלא</v>
      </c>
      <c r="I7" s="16"/>
    </row>
    <row r="8" spans="2:9" x14ac:dyDescent="0.25">
      <c r="B8" s="12"/>
      <c r="C8" s="5"/>
      <c r="E8" s="5"/>
      <c r="F8" s="5"/>
      <c r="I8" s="16"/>
    </row>
    <row r="9" spans="2:9" x14ac:dyDescent="0.25">
      <c r="B9" s="12"/>
      <c r="C9" s="5" t="s">
        <v>56</v>
      </c>
      <c r="D9" s="5"/>
      <c r="E9" s="5"/>
      <c r="F9" s="5"/>
      <c r="G9" s="292"/>
      <c r="H9" s="15" t="str">
        <f>IF(G9="","יש למלא","")</f>
        <v>יש למלא</v>
      </c>
      <c r="I9" s="16"/>
    </row>
    <row r="10" spans="2:9" x14ac:dyDescent="0.25">
      <c r="B10" s="12"/>
      <c r="C10" s="5"/>
      <c r="D10" s="5"/>
      <c r="E10" s="5"/>
      <c r="F10" s="5"/>
      <c r="I10" s="16"/>
    </row>
    <row r="11" spans="2:9" x14ac:dyDescent="0.25">
      <c r="B11" s="12"/>
      <c r="C11" s="5" t="s">
        <v>57</v>
      </c>
      <c r="D11" s="5"/>
      <c r="E11" s="5"/>
      <c r="F11" s="5"/>
      <c r="G11" s="292"/>
      <c r="H11" s="15" t="str">
        <f>IF(G11="","יש למלא","")</f>
        <v>יש למלא</v>
      </c>
      <c r="I11" s="16"/>
    </row>
    <row r="12" spans="2:9" x14ac:dyDescent="0.25">
      <c r="B12" s="12"/>
      <c r="C12" s="5"/>
      <c r="D12" s="5"/>
      <c r="E12" s="5"/>
      <c r="F12" s="5"/>
      <c r="I12" s="16"/>
    </row>
    <row r="13" spans="2:9" x14ac:dyDescent="0.25">
      <c r="B13" s="12"/>
      <c r="C13" s="5" t="s">
        <v>58</v>
      </c>
      <c r="D13" s="5"/>
      <c r="E13" s="5"/>
      <c r="F13" s="5"/>
      <c r="G13" s="292"/>
      <c r="H13" s="15" t="str">
        <f>IF(G13="","יש למלא","")</f>
        <v>יש למלא</v>
      </c>
      <c r="I13" s="16"/>
    </row>
    <row r="14" spans="2:9" x14ac:dyDescent="0.25">
      <c r="B14" s="12"/>
      <c r="C14" s="5"/>
      <c r="D14" s="5"/>
      <c r="E14" s="5"/>
      <c r="F14" s="5"/>
      <c r="I14" s="16"/>
    </row>
    <row r="15" spans="2:9" x14ac:dyDescent="0.25">
      <c r="B15" s="12"/>
      <c r="C15" s="5" t="s">
        <v>59</v>
      </c>
      <c r="D15" s="5"/>
      <c r="E15" s="5"/>
      <c r="F15" s="5"/>
      <c r="G15" s="293"/>
      <c r="H15" s="15" t="str">
        <f>IF(G15="","יש למלא","")</f>
        <v>יש למלא</v>
      </c>
      <c r="I15" s="16"/>
    </row>
    <row r="16" spans="2:9" x14ac:dyDescent="0.25">
      <c r="B16" s="17"/>
      <c r="C16" s="18"/>
      <c r="D16" s="18"/>
      <c r="E16" s="18"/>
      <c r="F16" s="18"/>
      <c r="G16" s="19"/>
      <c r="H16" s="18"/>
      <c r="I16" s="20"/>
    </row>
    <row r="17" spans="2:9" ht="15" customHeight="1" x14ac:dyDescent="0.25">
      <c r="B17" s="8" t="s">
        <v>60</v>
      </c>
      <c r="C17" s="9"/>
      <c r="D17" s="9"/>
      <c r="E17" s="9"/>
      <c r="F17" s="9"/>
      <c r="G17" s="10"/>
      <c r="H17" s="9"/>
      <c r="I17" s="11"/>
    </row>
    <row r="18" spans="2:9" x14ac:dyDescent="0.25">
      <c r="B18" s="12"/>
      <c r="C18" s="5" t="s">
        <v>61</v>
      </c>
      <c r="D18" s="5"/>
      <c r="E18" s="5"/>
      <c r="F18" s="5"/>
      <c r="G18" s="292"/>
      <c r="H18" s="15" t="str">
        <f>IF(G18="","יש למלא","")</f>
        <v>יש למלא</v>
      </c>
      <c r="I18" s="16"/>
    </row>
    <row r="19" spans="2:9" x14ac:dyDescent="0.25">
      <c r="B19" s="12"/>
      <c r="I19" s="16"/>
    </row>
    <row r="20" spans="2:9" x14ac:dyDescent="0.25">
      <c r="B20" s="12"/>
      <c r="C20" s="5" t="s">
        <v>62</v>
      </c>
      <c r="D20" s="5"/>
      <c r="E20" s="5"/>
      <c r="F20" s="5"/>
      <c r="G20" s="292"/>
      <c r="H20" s="15" t="str">
        <f>IF(G20="","יש למלא","")</f>
        <v>יש למלא</v>
      </c>
      <c r="I20" s="16"/>
    </row>
    <row r="21" spans="2:9" x14ac:dyDescent="0.25">
      <c r="B21" s="12"/>
      <c r="I21" s="16"/>
    </row>
    <row r="22" spans="2:9" x14ac:dyDescent="0.25">
      <c r="B22" s="12"/>
      <c r="C22" s="5" t="s">
        <v>63</v>
      </c>
      <c r="D22" s="5"/>
      <c r="E22" s="5"/>
      <c r="F22" s="5"/>
      <c r="G22" s="292"/>
      <c r="H22" s="15" t="str">
        <f>IF(G22="","יש למלא","")</f>
        <v>יש למלא</v>
      </c>
      <c r="I22" s="16"/>
    </row>
    <row r="23" spans="2:9" x14ac:dyDescent="0.25">
      <c r="B23" s="12"/>
      <c r="C23" s="5"/>
      <c r="D23" s="5"/>
      <c r="E23" s="5"/>
      <c r="F23" s="5"/>
      <c r="I23" s="16"/>
    </row>
    <row r="24" spans="2:9" x14ac:dyDescent="0.25">
      <c r="B24" s="12"/>
      <c r="C24" s="4" t="s">
        <v>64</v>
      </c>
      <c r="G24" s="292"/>
      <c r="H24" s="15" t="str">
        <f>IF(G24="","יש למלא","")</f>
        <v>יש למלא</v>
      </c>
      <c r="I24" s="16"/>
    </row>
    <row r="25" spans="2:9" x14ac:dyDescent="0.25">
      <c r="B25" s="12"/>
      <c r="I25" s="16"/>
    </row>
    <row r="26" spans="2:9" x14ac:dyDescent="0.25">
      <c r="B26" s="12"/>
      <c r="C26" s="5" t="s">
        <v>65</v>
      </c>
      <c r="D26" s="5"/>
      <c r="E26" s="5"/>
      <c r="F26" s="5"/>
      <c r="G26" s="293"/>
      <c r="H26" s="15" t="str">
        <f>IF(G26="","יש למלא","")</f>
        <v>יש למלא</v>
      </c>
      <c r="I26" s="16"/>
    </row>
    <row r="27" spans="2:9" x14ac:dyDescent="0.25">
      <c r="B27" s="17"/>
      <c r="C27" s="19"/>
      <c r="D27" s="19"/>
      <c r="E27" s="19"/>
      <c r="F27" s="19"/>
      <c r="G27" s="19"/>
      <c r="H27" s="19"/>
      <c r="I27" s="20"/>
    </row>
    <row r="28" spans="2:9" ht="15" customHeight="1" x14ac:dyDescent="0.25">
      <c r="B28" s="8" t="s">
        <v>66</v>
      </c>
      <c r="C28" s="9"/>
      <c r="D28" s="9"/>
      <c r="E28" s="9"/>
      <c r="F28" s="9"/>
      <c r="G28" s="10"/>
      <c r="H28" s="9"/>
      <c r="I28" s="11"/>
    </row>
    <row r="29" spans="2:9" x14ac:dyDescent="0.25">
      <c r="B29" s="12"/>
      <c r="C29" s="5" t="s">
        <v>67</v>
      </c>
      <c r="D29" s="5"/>
      <c r="E29" s="5"/>
      <c r="F29" s="5"/>
      <c r="G29" s="292"/>
      <c r="H29" s="15" t="str">
        <f>IF(G29="","יש לבחור מהרשימה","")</f>
        <v>יש לבחור מהרשימה</v>
      </c>
      <c r="I29" s="16"/>
    </row>
    <row r="30" spans="2:9" x14ac:dyDescent="0.25">
      <c r="B30" s="12"/>
      <c r="C30" s="5"/>
      <c r="D30" s="5"/>
      <c r="E30" s="5"/>
      <c r="F30" s="5"/>
      <c r="H30" s="5"/>
      <c r="I30" s="16"/>
    </row>
    <row r="31" spans="2:9" x14ac:dyDescent="0.25">
      <c r="B31" s="12"/>
      <c r="C31" s="5" t="s">
        <v>68</v>
      </c>
      <c r="D31" s="5"/>
      <c r="E31" s="5"/>
      <c r="F31" s="5"/>
      <c r="G31" s="292"/>
      <c r="H31" s="15" t="str">
        <f>IF(G31="","יש לבחור מהרשימה","")</f>
        <v>יש לבחור מהרשימה</v>
      </c>
      <c r="I31" s="16"/>
    </row>
    <row r="32" spans="2:9" x14ac:dyDescent="0.25">
      <c r="B32" s="12"/>
      <c r="I32" s="16"/>
    </row>
    <row r="33" spans="2:9" x14ac:dyDescent="0.25">
      <c r="B33" s="12"/>
      <c r="C33" s="4" t="s">
        <v>69</v>
      </c>
      <c r="G33" s="292"/>
      <c r="H33" s="15" t="str">
        <f>IF(G33="","יש למלא","")</f>
        <v>יש למלא</v>
      </c>
      <c r="I33" s="16"/>
    </row>
    <row r="34" spans="2:9" x14ac:dyDescent="0.25">
      <c r="B34" s="12"/>
      <c r="I34" s="16"/>
    </row>
    <row r="35" spans="2:9" x14ac:dyDescent="0.25">
      <c r="B35" s="12"/>
      <c r="C35" s="4" t="s">
        <v>70</v>
      </c>
      <c r="G35" s="292"/>
      <c r="H35" s="15" t="str">
        <f>IF(G35="","יש למלא","")</f>
        <v>יש למלא</v>
      </c>
      <c r="I35" s="16"/>
    </row>
    <row r="36" spans="2:9" x14ac:dyDescent="0.25">
      <c r="B36" s="17"/>
      <c r="C36" s="18"/>
      <c r="D36" s="18"/>
      <c r="E36" s="18"/>
      <c r="F36" s="18"/>
      <c r="G36" s="19"/>
      <c r="H36" s="18"/>
      <c r="I36" s="20"/>
    </row>
    <row r="37" spans="2:9" ht="15" customHeight="1" x14ac:dyDescent="0.25">
      <c r="B37" s="8" t="s">
        <v>71</v>
      </c>
      <c r="C37" s="9"/>
      <c r="D37" s="9"/>
      <c r="E37" s="9"/>
      <c r="F37" s="9"/>
      <c r="G37" s="10"/>
      <c r="H37" s="9"/>
      <c r="I37" s="11"/>
    </row>
    <row r="38" spans="2:9" x14ac:dyDescent="0.25">
      <c r="B38" s="12"/>
      <c r="C38" s="4" t="s">
        <v>72</v>
      </c>
      <c r="I38" s="16"/>
    </row>
    <row r="39" spans="2:9" x14ac:dyDescent="0.25">
      <c r="B39" s="294"/>
      <c r="C39" s="1" t="s">
        <v>339</v>
      </c>
      <c r="D39" s="1"/>
      <c r="E39" s="1"/>
      <c r="F39" s="1"/>
      <c r="G39" s="21"/>
      <c r="H39" s="1"/>
      <c r="I39" s="16"/>
    </row>
    <row r="40" spans="2:9" x14ac:dyDescent="0.25">
      <c r="B40" s="12"/>
      <c r="C40" s="4" t="s">
        <v>73</v>
      </c>
      <c r="I40" s="16"/>
    </row>
    <row r="41" spans="2:9" x14ac:dyDescent="0.25">
      <c r="B41" s="12"/>
      <c r="C41" s="4" t="s">
        <v>74</v>
      </c>
      <c r="I41" s="16"/>
    </row>
    <row r="42" spans="2:9" x14ac:dyDescent="0.25">
      <c r="B42" s="12"/>
      <c r="C42" s="4" t="s">
        <v>75</v>
      </c>
      <c r="I42" s="16"/>
    </row>
    <row r="43" spans="2:9" x14ac:dyDescent="0.25">
      <c r="B43" s="12"/>
      <c r="C43" s="4" t="s">
        <v>76</v>
      </c>
      <c r="D43" s="1"/>
      <c r="E43" s="1"/>
      <c r="F43" s="1"/>
      <c r="G43" s="22"/>
      <c r="I43" s="16"/>
    </row>
    <row r="44" spans="2:9" x14ac:dyDescent="0.25">
      <c r="B44" s="17"/>
      <c r="C44" s="18"/>
      <c r="D44" s="18"/>
      <c r="E44" s="18"/>
      <c r="F44" s="18"/>
      <c r="G44" s="19"/>
      <c r="H44" s="18"/>
      <c r="I44" s="20"/>
    </row>
  </sheetData>
  <sheetProtection algorithmName="SHA-512" hashValue="+IaTdFbKI+9op1TQFX74Bm6aoLgqlqWnP7YlXyeXmM+OqgHH4acUIXxdAOBXS0+PrnjkWt7m5RnEDHziHZc2Hw==" saltValue="Q7O1VRVIIJSU8MZ5jael4A==" spinCount="100000" sheet="1" formatCells="0" formatColumns="0" formatRows="0"/>
  <mergeCells count="1">
    <mergeCell ref="B3:I3"/>
  </mergeCells>
  <dataValidations count="3">
    <dataValidation type="whole" allowBlank="1" showInputMessage="1" showErrorMessage="1" error="נא לכתוב מספר בין 10 ל80" sqref="G34" xr:uid="{00000000-0002-0000-0100-000000000000}">
      <formula1>10</formula1>
      <formula2>80</formula2>
    </dataValidation>
    <dataValidation type="list" allowBlank="1" showInputMessage="1" showErrorMessage="1" sqref="G29" xr:uid="{00000000-0002-0000-0100-000001000000}">
      <formula1>"1,2,3,4,5,6,7,8,9,10"</formula1>
      <formula2>0</formula2>
    </dataValidation>
    <dataValidation type="list" allowBlank="1" showInputMessage="1" showErrorMessage="1" sqref="G31" xr:uid="{00000000-0002-0000-0100-000002000000}">
      <formula1>"כן,לא"</formula1>
      <formula2>0</formula2>
    </dataValidation>
  </dataValidations>
  <pageMargins left="0.70866141732283472" right="0.70866141732283472" top="0.74803149606299213" bottom="0.74803149606299213" header="0.51181102362204722" footer="0.511811023622047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63"/>
  <sheetViews>
    <sheetView rightToLeft="1" zoomScale="80" zoomScaleNormal="80" workbookViewId="0">
      <selection activeCell="G13" sqref="G13"/>
    </sheetView>
  </sheetViews>
  <sheetFormatPr defaultColWidth="9" defaultRowHeight="14.4" outlineLevelCol="1" x14ac:dyDescent="0.3"/>
  <cols>
    <col min="1" max="1" width="5" style="23" customWidth="1"/>
    <col min="2" max="2" width="22.88671875" style="23" customWidth="1"/>
    <col min="3" max="3" width="24.77734375" style="23" customWidth="1"/>
    <col min="4" max="4" width="7.44140625" style="23" customWidth="1"/>
    <col min="5" max="5" width="11.44140625" style="23" customWidth="1"/>
    <col min="6" max="6" width="10.88671875" style="23" bestFit="1" customWidth="1"/>
    <col min="7" max="7" width="9" style="23"/>
    <col min="8" max="8" width="10.6640625" style="23" customWidth="1"/>
    <col min="9" max="9" width="14.5546875" style="23" customWidth="1"/>
    <col min="10" max="10" width="20.44140625" style="23" customWidth="1"/>
    <col min="11" max="11" width="1.88671875" style="23" customWidth="1"/>
    <col min="12" max="12" width="10.88671875" style="23" hidden="1" customWidth="1" outlineLevel="1"/>
    <col min="13" max="13" width="7.5546875" style="24" hidden="1" customWidth="1" outlineLevel="1"/>
    <col min="14" max="14" width="12.5546875" style="25" hidden="1" customWidth="1" outlineLevel="1"/>
    <col min="15" max="15" width="7.88671875" style="24" hidden="1" customWidth="1" outlineLevel="1"/>
    <col min="16" max="16" width="11.77734375" style="24" hidden="1" customWidth="1" outlineLevel="1"/>
    <col min="17" max="17" width="11.77734375" style="23" hidden="1" customWidth="1" outlineLevel="1"/>
    <col min="18" max="18" width="15.44140625" style="26" hidden="1" customWidth="1" outlineLevel="1"/>
    <col min="19" max="19" width="8.77734375" style="23" hidden="1" customWidth="1" outlineLevel="1"/>
    <col min="20" max="20" width="13.21875" style="25" hidden="1" customWidth="1" outlineLevel="1"/>
    <col min="21" max="21" width="13.33203125" style="27" hidden="1" customWidth="1" outlineLevel="1"/>
    <col min="22" max="22" width="10.88671875" style="23" hidden="1" customWidth="1" outlineLevel="1"/>
    <col min="23" max="23" width="9" style="23" collapsed="1"/>
    <col min="24" max="16384" width="9" style="23"/>
  </cols>
  <sheetData>
    <row r="1" spans="1:24" ht="13.5" customHeight="1" x14ac:dyDescent="0.3">
      <c r="A1" s="192"/>
      <c r="B1" s="345" t="str">
        <f>פתיח!$B$3&amp;": גירסת "&amp;פתיח!$E$4</f>
        <v>תקן ציוד כללי למרכזי יום טיפוליים ולמסגרות מזדקנים לאנשים עם מוגבלות: גירסת 2 בספטמבר 2026</v>
      </c>
      <c r="C1" s="6"/>
      <c r="D1" s="192"/>
      <c r="E1" s="192"/>
      <c r="F1" s="192"/>
    </row>
    <row r="2" spans="1:24" s="24" customFormat="1" ht="15" customHeight="1" x14ac:dyDescent="0.3">
      <c r="A2" s="3"/>
      <c r="B2" s="94" t="str">
        <f>'שאלון למילוי מגיש הבקשה-חובה'!$C$7</f>
        <v>שם הגוף המבקש:</v>
      </c>
      <c r="C2" s="94"/>
      <c r="D2" s="344">
        <f>'שאלון למילוי מגיש הבקשה-חובה'!$G$7</f>
        <v>0</v>
      </c>
      <c r="E2" s="28"/>
      <c r="F2" s="28"/>
      <c r="G2" s="21"/>
      <c r="H2" s="21"/>
      <c r="I2" s="21"/>
      <c r="J2" s="21"/>
      <c r="K2" s="21"/>
      <c r="L2" s="21"/>
      <c r="M2" s="21"/>
      <c r="N2" s="29"/>
      <c r="O2" s="21"/>
      <c r="P2" s="21"/>
      <c r="Q2" s="21"/>
      <c r="R2" s="30"/>
      <c r="S2" s="21"/>
      <c r="T2" s="29"/>
      <c r="U2" s="31"/>
      <c r="V2" s="21"/>
      <c r="W2" s="21"/>
      <c r="X2" s="21"/>
    </row>
    <row r="3" spans="1:24" s="24" customFormat="1" ht="15" customHeight="1" x14ac:dyDescent="0.3">
      <c r="A3" s="3"/>
      <c r="B3" s="94" t="str">
        <f>'שאלון למילוי מגיש הבקשה-חובה'!$C$18</f>
        <v>שם המסגרת:</v>
      </c>
      <c r="C3" s="94"/>
      <c r="D3" s="344">
        <f>'שאלון למילוי מגיש הבקשה-חובה'!$G$18</f>
        <v>0</v>
      </c>
      <c r="E3" s="28"/>
      <c r="F3" s="28"/>
      <c r="G3" s="21"/>
      <c r="H3" s="21"/>
      <c r="I3" s="21"/>
      <c r="J3" s="21"/>
      <c r="K3" s="21"/>
      <c r="L3" s="21"/>
      <c r="M3" s="21"/>
      <c r="N3" s="29"/>
      <c r="O3" s="21"/>
      <c r="P3" s="21"/>
      <c r="Q3" s="21"/>
      <c r="R3" s="30"/>
      <c r="S3" s="21"/>
      <c r="T3" s="29"/>
      <c r="U3" s="31"/>
      <c r="V3" s="21"/>
      <c r="W3" s="21"/>
      <c r="X3" s="21"/>
    </row>
    <row r="4" spans="1:24" s="24" customFormat="1" ht="15" customHeight="1" x14ac:dyDescent="0.3">
      <c r="A4" s="21"/>
      <c r="B4" s="28" t="str">
        <f>'שאלון למילוי מגיש הבקשה-חובה'!$C$33</f>
        <v>מספר האנשים שעבורם מיועד הפרויקט:</v>
      </c>
      <c r="C4" s="28"/>
      <c r="D4" s="28">
        <f>'שאלון למילוי מגיש הבקשה-חובה'!$G$33</f>
        <v>0</v>
      </c>
      <c r="E4" s="21"/>
      <c r="F4" s="21"/>
      <c r="G4" s="21"/>
      <c r="H4" s="21"/>
      <c r="I4" s="21"/>
      <c r="J4" s="21"/>
      <c r="K4" s="21"/>
      <c r="L4" s="21"/>
      <c r="M4" s="21"/>
      <c r="N4" s="29"/>
      <c r="O4" s="21"/>
      <c r="P4" s="21"/>
      <c r="Q4" s="21"/>
      <c r="R4" s="30"/>
      <c r="S4" s="21"/>
      <c r="T4" s="29"/>
      <c r="U4" s="31"/>
      <c r="V4" s="21"/>
      <c r="W4" s="21"/>
      <c r="X4" s="21"/>
    </row>
    <row r="5" spans="1:24" s="24" customFormat="1" ht="15" customHeight="1" x14ac:dyDescent="0.3">
      <c r="A5" s="21"/>
      <c r="B5" s="28" t="str">
        <f>'שאלון למילוי מגיש הבקשה-חובה'!$C$35</f>
        <v>מספר חדרי פעילות:</v>
      </c>
      <c r="C5" s="28"/>
      <c r="D5" s="28">
        <f>'שאלון למילוי מגיש הבקשה-חובה'!$G$35</f>
        <v>0</v>
      </c>
      <c r="E5" s="21"/>
      <c r="F5" s="21"/>
      <c r="G5" s="21"/>
      <c r="H5" s="21"/>
      <c r="I5" s="21"/>
      <c r="J5" s="21"/>
      <c r="K5" s="21"/>
      <c r="L5" s="21"/>
      <c r="M5" s="21"/>
      <c r="N5" s="29"/>
      <c r="O5" s="21"/>
      <c r="P5" s="21"/>
      <c r="Q5" s="21"/>
      <c r="R5" s="30"/>
      <c r="S5" s="21"/>
      <c r="T5" s="29"/>
      <c r="U5" s="31"/>
      <c r="V5" s="21"/>
      <c r="W5" s="21"/>
      <c r="X5" s="21"/>
    </row>
    <row r="6" spans="1:24" s="24" customFormat="1" ht="15" customHeight="1" x14ac:dyDescent="0.3">
      <c r="A6" s="21"/>
      <c r="B6" s="28" t="s">
        <v>77</v>
      </c>
      <c r="C6" s="28"/>
      <c r="D6" s="28"/>
      <c r="E6" s="21"/>
      <c r="F6" s="21"/>
      <c r="G6" s="21"/>
      <c r="H6" s="21"/>
      <c r="I6" s="21"/>
      <c r="J6" s="21"/>
      <c r="K6" s="21"/>
      <c r="L6" s="21"/>
      <c r="M6" s="21"/>
      <c r="N6" s="29"/>
      <c r="O6" s="21"/>
      <c r="P6" s="21"/>
      <c r="Q6" s="21"/>
      <c r="R6" s="30"/>
      <c r="S6" s="21"/>
      <c r="T6" s="29"/>
      <c r="U6" s="31"/>
      <c r="V6" s="21"/>
      <c r="W6" s="21"/>
      <c r="X6" s="21"/>
    </row>
    <row r="7" spans="1:24" ht="13.5" customHeight="1" x14ac:dyDescent="0.25">
      <c r="A7" s="28"/>
      <c r="B7" s="28" t="s">
        <v>78</v>
      </c>
      <c r="C7" s="28"/>
      <c r="D7" s="28"/>
      <c r="E7" s="21"/>
      <c r="F7" s="21"/>
      <c r="G7" s="21"/>
      <c r="H7" s="21"/>
      <c r="I7" s="21"/>
      <c r="J7" s="21"/>
      <c r="K7" s="21"/>
      <c r="L7" s="21"/>
      <c r="M7" s="21"/>
      <c r="N7" s="29"/>
      <c r="O7" s="21"/>
      <c r="P7" s="21"/>
      <c r="Q7" s="21"/>
      <c r="R7" s="30"/>
      <c r="S7" s="21"/>
      <c r="T7" s="29"/>
      <c r="U7" s="31"/>
      <c r="V7" s="21"/>
      <c r="W7" s="21"/>
      <c r="X7" s="21"/>
    </row>
    <row r="8" spans="1:24" ht="13.5" customHeight="1" x14ac:dyDescent="0.25">
      <c r="A8" s="21"/>
      <c r="B8" s="295" t="s">
        <v>238</v>
      </c>
      <c r="C8" s="295"/>
      <c r="D8" s="28"/>
      <c r="E8" s="21"/>
      <c r="F8" s="21"/>
      <c r="G8" s="21"/>
      <c r="H8" s="21"/>
      <c r="I8" s="21"/>
      <c r="J8" s="21"/>
      <c r="K8" s="21"/>
      <c r="L8" s="21"/>
      <c r="M8" s="21"/>
      <c r="N8" s="29"/>
      <c r="O8" s="21"/>
      <c r="P8" s="21"/>
      <c r="Q8" s="21"/>
      <c r="R8" s="30"/>
      <c r="S8" s="21"/>
      <c r="T8" s="29"/>
      <c r="U8" s="31"/>
      <c r="V8" s="21"/>
      <c r="W8" s="21"/>
      <c r="X8" s="21"/>
    </row>
    <row r="9" spans="1:24" ht="13.5" customHeight="1" x14ac:dyDescent="0.3">
      <c r="A9" s="21"/>
      <c r="B9" s="28" t="s">
        <v>79</v>
      </c>
      <c r="C9" s="28"/>
      <c r="D9" s="21"/>
      <c r="E9" s="21"/>
      <c r="F9" s="21"/>
      <c r="G9" s="21"/>
      <c r="H9" s="21"/>
      <c r="L9" s="21"/>
      <c r="M9" s="21"/>
      <c r="N9" s="29"/>
      <c r="O9" s="21"/>
      <c r="P9" s="21"/>
      <c r="Q9" s="21"/>
      <c r="T9" s="29"/>
      <c r="U9" s="31"/>
      <c r="V9" s="21"/>
      <c r="W9" s="21"/>
      <c r="X9" s="21"/>
    </row>
    <row r="10" spans="1:24" s="24" customFormat="1" ht="15" customHeight="1" x14ac:dyDescent="0.3">
      <c r="A10" s="32">
        <v>1</v>
      </c>
      <c r="B10" s="32" t="s">
        <v>80</v>
      </c>
      <c r="C10" s="32"/>
      <c r="D10" s="28"/>
      <c r="E10" s="21"/>
      <c r="F10" s="21"/>
      <c r="G10" s="21"/>
      <c r="H10" s="21"/>
      <c r="I10" s="21"/>
      <c r="J10" s="21"/>
      <c r="K10" s="23"/>
      <c r="L10" s="21"/>
      <c r="M10" s="21"/>
      <c r="N10" s="29"/>
      <c r="O10" s="21"/>
      <c r="P10" s="21"/>
      <c r="Q10" s="21"/>
      <c r="R10" s="30"/>
      <c r="S10" s="21"/>
      <c r="T10" s="29"/>
      <c r="U10" s="31"/>
      <c r="V10" s="21"/>
      <c r="W10" s="21"/>
      <c r="X10" s="21"/>
    </row>
    <row r="11" spans="1:24" ht="18" customHeight="1" x14ac:dyDescent="0.25">
      <c r="A11" s="33">
        <v>1.1000000000000001</v>
      </c>
      <c r="B11" s="34" t="s">
        <v>81</v>
      </c>
      <c r="C11" s="111"/>
      <c r="D11" s="35"/>
      <c r="E11" s="35"/>
      <c r="F11" s="36"/>
      <c r="G11" s="34" t="s">
        <v>82</v>
      </c>
      <c r="H11" s="35"/>
      <c r="I11" s="35"/>
      <c r="J11" s="36"/>
      <c r="L11" s="37" t="s">
        <v>83</v>
      </c>
      <c r="M11" s="38"/>
      <c r="N11" s="38" t="s">
        <v>84</v>
      </c>
      <c r="O11" s="38"/>
      <c r="P11" s="38"/>
      <c r="Q11" s="38"/>
      <c r="R11" s="38"/>
      <c r="S11" s="38"/>
      <c r="T11" s="38"/>
      <c r="U11" s="38"/>
      <c r="V11" s="39"/>
      <c r="X11" s="21"/>
    </row>
    <row r="12" spans="1:24" s="5" customFormat="1" ht="68.25" customHeight="1" x14ac:dyDescent="0.25">
      <c r="A12" s="304" t="s">
        <v>85</v>
      </c>
      <c r="B12" s="304" t="s">
        <v>86</v>
      </c>
      <c r="C12" s="304" t="s">
        <v>242</v>
      </c>
      <c r="D12" s="304" t="s">
        <v>87</v>
      </c>
      <c r="E12" s="304" t="s">
        <v>88</v>
      </c>
      <c r="F12" s="304" t="s">
        <v>89</v>
      </c>
      <c r="G12" s="304" t="s">
        <v>90</v>
      </c>
      <c r="H12" s="304" t="s">
        <v>91</v>
      </c>
      <c r="I12" s="304" t="s">
        <v>92</v>
      </c>
      <c r="J12" s="304" t="s">
        <v>93</v>
      </c>
      <c r="K12" s="23"/>
      <c r="L12" s="40" t="s">
        <v>94</v>
      </c>
      <c r="M12" s="274" t="s">
        <v>95</v>
      </c>
      <c r="N12" s="91" t="s">
        <v>96</v>
      </c>
      <c r="O12" s="91" t="s">
        <v>97</v>
      </c>
      <c r="P12" s="91" t="s">
        <v>98</v>
      </c>
      <c r="Q12" s="90" t="s">
        <v>99</v>
      </c>
      <c r="R12" s="90" t="s">
        <v>100</v>
      </c>
      <c r="S12" s="91" t="s">
        <v>101</v>
      </c>
      <c r="T12" s="91" t="s">
        <v>102</v>
      </c>
      <c r="U12" s="41" t="s">
        <v>103</v>
      </c>
      <c r="V12" s="42" t="s">
        <v>104</v>
      </c>
      <c r="X12" s="21"/>
    </row>
    <row r="13" spans="1:24" ht="27.6" x14ac:dyDescent="0.25">
      <c r="A13" s="99">
        <v>1</v>
      </c>
      <c r="B13" s="290" t="s">
        <v>259</v>
      </c>
      <c r="C13" s="55" t="s">
        <v>243</v>
      </c>
      <c r="D13" s="145">
        <f>ROUNDUP('שאלון למילוי מגיש הבקשה-חובה'!$G$33*7/6,0)</f>
        <v>0</v>
      </c>
      <c r="E13" s="44">
        <v>600</v>
      </c>
      <c r="F13" s="44">
        <f t="shared" ref="F13:F24" si="0">D13*E13</f>
        <v>0</v>
      </c>
      <c r="G13" s="255"/>
      <c r="H13" s="45">
        <f t="shared" ref="H13:H24" si="1">E13*G13</f>
        <v>0</v>
      </c>
      <c r="I13" s="46" t="str">
        <f t="shared" ref="I13:I24" si="2">IF(G13&gt;D13,"נא להסביר חריגה","")</f>
        <v/>
      </c>
      <c r="J13" s="297"/>
      <c r="L13" s="319"/>
      <c r="M13" s="306"/>
      <c r="N13" s="307"/>
      <c r="O13" s="308"/>
      <c r="P13" s="309"/>
      <c r="Q13" s="310"/>
      <c r="R13" s="52">
        <f t="shared" ref="R13:R25" si="3">IF(Q13="",0,Q13-H13)</f>
        <v>0</v>
      </c>
      <c r="S13" s="53">
        <f t="shared" ref="S13:S25" si="4">IF(H13=0,0,R13/H13)</f>
        <v>0</v>
      </c>
      <c r="T13" s="48"/>
      <c r="U13" s="54"/>
      <c r="V13" s="33"/>
      <c r="W13" s="21"/>
      <c r="X13" s="21"/>
    </row>
    <row r="14" spans="1:24" ht="27.6" x14ac:dyDescent="0.25">
      <c r="A14" s="99">
        <v>2</v>
      </c>
      <c r="B14" s="290" t="s">
        <v>247</v>
      </c>
      <c r="C14" s="339" t="s">
        <v>312</v>
      </c>
      <c r="D14" s="145">
        <f>ROUNDUP('שאלון למילוי מגיש הבקשה-חובה'!$G$33/4,0)</f>
        <v>0</v>
      </c>
      <c r="E14" s="44">
        <v>3500</v>
      </c>
      <c r="F14" s="44">
        <f t="shared" si="0"/>
        <v>0</v>
      </c>
      <c r="G14" s="255"/>
      <c r="H14" s="45">
        <f t="shared" si="1"/>
        <v>0</v>
      </c>
      <c r="I14" s="46" t="str">
        <f t="shared" si="2"/>
        <v/>
      </c>
      <c r="J14" s="297"/>
      <c r="L14" s="319"/>
      <c r="M14" s="306"/>
      <c r="N14" s="307"/>
      <c r="O14" s="308"/>
      <c r="P14" s="309"/>
      <c r="Q14" s="310"/>
      <c r="R14" s="52">
        <f t="shared" si="3"/>
        <v>0</v>
      </c>
      <c r="S14" s="53">
        <f t="shared" si="4"/>
        <v>0</v>
      </c>
      <c r="T14" s="48"/>
      <c r="U14" s="54"/>
      <c r="V14" s="33"/>
      <c r="W14" s="21"/>
      <c r="X14" s="21"/>
    </row>
    <row r="15" spans="1:24" ht="13.5" customHeight="1" x14ac:dyDescent="0.3">
      <c r="A15" s="99">
        <v>3</v>
      </c>
      <c r="B15" s="290" t="s">
        <v>246</v>
      </c>
      <c r="C15" s="55" t="s">
        <v>244</v>
      </c>
      <c r="D15" s="144">
        <f>'שאלון למילוי מגיש הבקשה-חובה'!$G$35</f>
        <v>0</v>
      </c>
      <c r="E15" s="44">
        <v>1200</v>
      </c>
      <c r="F15" s="44">
        <f t="shared" si="0"/>
        <v>0</v>
      </c>
      <c r="G15" s="255"/>
      <c r="H15" s="45">
        <f t="shared" si="1"/>
        <v>0</v>
      </c>
      <c r="I15" s="46" t="str">
        <f t="shared" si="2"/>
        <v/>
      </c>
      <c r="J15" s="297"/>
      <c r="L15" s="319"/>
      <c r="M15" s="306"/>
      <c r="N15" s="307"/>
      <c r="O15" s="308"/>
      <c r="P15" s="309"/>
      <c r="Q15" s="310"/>
      <c r="R15" s="52">
        <f t="shared" si="3"/>
        <v>0</v>
      </c>
      <c r="S15" s="53">
        <f t="shared" si="4"/>
        <v>0</v>
      </c>
      <c r="T15" s="48"/>
      <c r="U15" s="54"/>
      <c r="V15" s="33"/>
      <c r="W15" s="21"/>
      <c r="X15" s="21"/>
    </row>
    <row r="16" spans="1:24" x14ac:dyDescent="0.3">
      <c r="A16" s="99">
        <v>4</v>
      </c>
      <c r="B16" s="290" t="s">
        <v>248</v>
      </c>
      <c r="C16" s="55" t="s">
        <v>244</v>
      </c>
      <c r="D16" s="144">
        <f>'שאלון למילוי מגיש הבקשה-חובה'!$G$35</f>
        <v>0</v>
      </c>
      <c r="E16" s="44">
        <v>3500</v>
      </c>
      <c r="F16" s="44">
        <f t="shared" si="0"/>
        <v>0</v>
      </c>
      <c r="G16" s="255"/>
      <c r="H16" s="45">
        <f t="shared" si="1"/>
        <v>0</v>
      </c>
      <c r="I16" s="46" t="str">
        <f t="shared" si="2"/>
        <v/>
      </c>
      <c r="J16" s="297"/>
      <c r="L16" s="319"/>
      <c r="M16" s="306"/>
      <c r="N16" s="307"/>
      <c r="O16" s="308"/>
      <c r="P16" s="309"/>
      <c r="Q16" s="310"/>
      <c r="R16" s="52">
        <f t="shared" si="3"/>
        <v>0</v>
      </c>
      <c r="S16" s="53">
        <f t="shared" si="4"/>
        <v>0</v>
      </c>
      <c r="T16" s="48"/>
      <c r="U16" s="54"/>
      <c r="V16" s="33"/>
      <c r="W16" s="21"/>
      <c r="X16" s="21"/>
    </row>
    <row r="17" spans="1:24" x14ac:dyDescent="0.3">
      <c r="A17" s="99">
        <v>5</v>
      </c>
      <c r="B17" s="290" t="s">
        <v>249</v>
      </c>
      <c r="C17" s="55" t="s">
        <v>244</v>
      </c>
      <c r="D17" s="144">
        <f>'שאלון למילוי מגיש הבקשה-חובה'!$G$35</f>
        <v>0</v>
      </c>
      <c r="E17" s="44">
        <v>5000</v>
      </c>
      <c r="F17" s="44">
        <f t="shared" ref="F17" si="5">D17*E17</f>
        <v>0</v>
      </c>
      <c r="G17" s="255"/>
      <c r="H17" s="45">
        <f t="shared" ref="H17" si="6">E17*G17</f>
        <v>0</v>
      </c>
      <c r="I17" s="46" t="str">
        <f t="shared" ref="I17" si="7">IF(G17&gt;D17,"נא להסביר חריגה","")</f>
        <v/>
      </c>
      <c r="J17" s="297"/>
      <c r="L17" s="319"/>
      <c r="M17" s="306"/>
      <c r="N17" s="307"/>
      <c r="O17" s="308"/>
      <c r="P17" s="309"/>
      <c r="Q17" s="310"/>
      <c r="R17" s="52">
        <f t="shared" ref="R17" si="8">IF(Q17="",0,Q17-H17)</f>
        <v>0</v>
      </c>
      <c r="S17" s="53">
        <f t="shared" ref="S17" si="9">IF(H17=0,0,R17/H17)</f>
        <v>0</v>
      </c>
      <c r="T17" s="48"/>
      <c r="U17" s="54"/>
      <c r="V17" s="33"/>
      <c r="W17" s="21"/>
      <c r="X17" s="21"/>
    </row>
    <row r="18" spans="1:24" ht="13.5" customHeight="1" x14ac:dyDescent="0.3">
      <c r="A18" s="99">
        <v>6</v>
      </c>
      <c r="B18" s="290" t="s">
        <v>252</v>
      </c>
      <c r="C18" s="55" t="s">
        <v>250</v>
      </c>
      <c r="D18" s="144">
        <f>'שאלון למילוי מגיש הבקשה-חובה'!$G$35*3</f>
        <v>0</v>
      </c>
      <c r="E18" s="44">
        <v>4500</v>
      </c>
      <c r="F18" s="44">
        <f t="shared" si="0"/>
        <v>0</v>
      </c>
      <c r="G18" s="255"/>
      <c r="H18" s="45">
        <f t="shared" si="1"/>
        <v>0</v>
      </c>
      <c r="I18" s="46" t="str">
        <f t="shared" si="2"/>
        <v/>
      </c>
      <c r="J18" s="297"/>
      <c r="L18" s="319"/>
      <c r="M18" s="306"/>
      <c r="N18" s="307"/>
      <c r="O18" s="308"/>
      <c r="P18" s="309"/>
      <c r="Q18" s="310"/>
      <c r="R18" s="52">
        <f t="shared" si="3"/>
        <v>0</v>
      </c>
      <c r="S18" s="53">
        <f t="shared" si="4"/>
        <v>0</v>
      </c>
      <c r="T18" s="48"/>
      <c r="U18" s="54"/>
      <c r="V18" s="33"/>
      <c r="W18" s="21"/>
      <c r="X18" s="21"/>
    </row>
    <row r="19" spans="1:24" ht="13.5" customHeight="1" x14ac:dyDescent="0.3">
      <c r="A19" s="99">
        <v>7</v>
      </c>
      <c r="B19" s="290" t="s">
        <v>251</v>
      </c>
      <c r="C19" s="55" t="s">
        <v>244</v>
      </c>
      <c r="D19" s="144">
        <f>'שאלון למילוי מגיש הבקשה-חובה'!$G$35</f>
        <v>0</v>
      </c>
      <c r="E19" s="44">
        <v>1500</v>
      </c>
      <c r="F19" s="44">
        <f t="shared" si="0"/>
        <v>0</v>
      </c>
      <c r="G19" s="255"/>
      <c r="H19" s="45">
        <f t="shared" si="1"/>
        <v>0</v>
      </c>
      <c r="I19" s="46" t="str">
        <f t="shared" si="2"/>
        <v/>
      </c>
      <c r="J19" s="297"/>
      <c r="L19" s="319"/>
      <c r="M19" s="306"/>
      <c r="N19" s="307"/>
      <c r="O19" s="308"/>
      <c r="P19" s="309"/>
      <c r="Q19" s="310"/>
      <c r="R19" s="52">
        <f t="shared" si="3"/>
        <v>0</v>
      </c>
      <c r="S19" s="53">
        <f t="shared" si="4"/>
        <v>0</v>
      </c>
      <c r="T19" s="48"/>
      <c r="U19" s="54"/>
      <c r="V19" s="33"/>
      <c r="W19" s="21"/>
      <c r="X19" s="21"/>
    </row>
    <row r="20" spans="1:24" ht="27.6" x14ac:dyDescent="0.25">
      <c r="A20" s="99">
        <v>8</v>
      </c>
      <c r="B20" s="290" t="s">
        <v>254</v>
      </c>
      <c r="C20" s="55" t="s">
        <v>245</v>
      </c>
      <c r="D20" s="145">
        <f>ROUNDUP('שאלון למילוי מגיש הבקשה-חובה'!$G$33*1.1,0)</f>
        <v>0</v>
      </c>
      <c r="E20" s="44">
        <v>400</v>
      </c>
      <c r="F20" s="44">
        <f t="shared" si="0"/>
        <v>0</v>
      </c>
      <c r="G20" s="255"/>
      <c r="H20" s="45">
        <f t="shared" si="1"/>
        <v>0</v>
      </c>
      <c r="I20" s="46" t="str">
        <f t="shared" si="2"/>
        <v/>
      </c>
      <c r="J20" s="297"/>
      <c r="L20" s="319"/>
      <c r="M20" s="306"/>
      <c r="N20" s="307"/>
      <c r="O20" s="308"/>
      <c r="P20" s="309"/>
      <c r="Q20" s="310"/>
      <c r="R20" s="52">
        <f t="shared" si="3"/>
        <v>0</v>
      </c>
      <c r="S20" s="53">
        <f t="shared" si="4"/>
        <v>0</v>
      </c>
      <c r="T20" s="48"/>
      <c r="U20" s="54"/>
      <c r="V20" s="33"/>
      <c r="W20" s="21"/>
      <c r="X20" s="21"/>
    </row>
    <row r="21" spans="1:24" ht="13.5" customHeight="1" x14ac:dyDescent="0.3">
      <c r="A21" s="99">
        <v>9</v>
      </c>
      <c r="B21" s="290" t="s">
        <v>255</v>
      </c>
      <c r="C21" s="55" t="s">
        <v>244</v>
      </c>
      <c r="D21" s="144">
        <f>'שאלון למילוי מגיש הבקשה-חובה'!$G$35</f>
        <v>0</v>
      </c>
      <c r="E21" s="44">
        <v>400</v>
      </c>
      <c r="F21" s="44">
        <f t="shared" si="0"/>
        <v>0</v>
      </c>
      <c r="G21" s="255"/>
      <c r="H21" s="45">
        <f t="shared" si="1"/>
        <v>0</v>
      </c>
      <c r="I21" s="46" t="str">
        <f t="shared" si="2"/>
        <v/>
      </c>
      <c r="J21" s="297"/>
      <c r="L21" s="319"/>
      <c r="M21" s="306"/>
      <c r="N21" s="307"/>
      <c r="O21" s="308"/>
      <c r="P21" s="309"/>
      <c r="Q21" s="310"/>
      <c r="R21" s="52">
        <f t="shared" si="3"/>
        <v>0</v>
      </c>
      <c r="S21" s="53">
        <f t="shared" si="4"/>
        <v>0</v>
      </c>
      <c r="T21" s="48"/>
      <c r="U21" s="54"/>
      <c r="V21" s="33"/>
      <c r="W21" s="21"/>
      <c r="X21" s="21"/>
    </row>
    <row r="22" spans="1:24" ht="13.5" customHeight="1" x14ac:dyDescent="0.3">
      <c r="A22" s="99">
        <v>10</v>
      </c>
      <c r="B22" s="290" t="s">
        <v>256</v>
      </c>
      <c r="C22" s="55" t="s">
        <v>244</v>
      </c>
      <c r="D22" s="144">
        <f>'שאלון למילוי מגיש הבקשה-חובה'!$G$35</f>
        <v>0</v>
      </c>
      <c r="E22" s="44">
        <v>200</v>
      </c>
      <c r="F22" s="44">
        <f t="shared" si="0"/>
        <v>0</v>
      </c>
      <c r="G22" s="255"/>
      <c r="H22" s="45">
        <f t="shared" si="1"/>
        <v>0</v>
      </c>
      <c r="I22" s="46" t="str">
        <f t="shared" si="2"/>
        <v/>
      </c>
      <c r="J22" s="297"/>
      <c r="L22" s="319"/>
      <c r="M22" s="306"/>
      <c r="N22" s="307"/>
      <c r="O22" s="308"/>
      <c r="P22" s="309"/>
      <c r="Q22" s="310"/>
      <c r="R22" s="52">
        <f t="shared" si="3"/>
        <v>0</v>
      </c>
      <c r="S22" s="53">
        <f t="shared" si="4"/>
        <v>0</v>
      </c>
      <c r="T22" s="48"/>
      <c r="U22" s="54"/>
      <c r="V22" s="33"/>
      <c r="W22" s="21"/>
      <c r="X22" s="21"/>
    </row>
    <row r="23" spans="1:24" ht="28.2" x14ac:dyDescent="0.3">
      <c r="A23" s="99">
        <v>11</v>
      </c>
      <c r="B23" s="290" t="s">
        <v>257</v>
      </c>
      <c r="C23" s="55" t="s">
        <v>258</v>
      </c>
      <c r="D23" s="144">
        <f>ROUNDUP(1.5*'שאלון למילוי מגיש הבקשה-חובה'!$G$35,0)</f>
        <v>0</v>
      </c>
      <c r="E23" s="305">
        <v>6000</v>
      </c>
      <c r="F23" s="44">
        <f t="shared" si="0"/>
        <v>0</v>
      </c>
      <c r="G23" s="255"/>
      <c r="H23" s="45">
        <f t="shared" si="1"/>
        <v>0</v>
      </c>
      <c r="I23" s="46" t="str">
        <f t="shared" si="2"/>
        <v/>
      </c>
      <c r="J23" s="297"/>
      <c r="L23" s="320"/>
      <c r="M23" s="47"/>
      <c r="N23" s="48"/>
      <c r="O23" s="49"/>
      <c r="P23" s="50"/>
      <c r="Q23" s="310"/>
      <c r="R23" s="52">
        <f t="shared" si="3"/>
        <v>0</v>
      </c>
      <c r="S23" s="53">
        <f t="shared" si="4"/>
        <v>0</v>
      </c>
      <c r="T23" s="48"/>
      <c r="U23" s="54"/>
      <c r="V23" s="33"/>
      <c r="W23" s="21"/>
      <c r="X23" s="21"/>
    </row>
    <row r="24" spans="1:24" ht="27.75" customHeight="1" x14ac:dyDescent="0.3">
      <c r="A24" s="99">
        <v>12</v>
      </c>
      <c r="B24" s="290" t="s">
        <v>313</v>
      </c>
      <c r="C24" s="55" t="s">
        <v>253</v>
      </c>
      <c r="D24" s="144">
        <f>ROUNDUP(1.3*'שאלון למילוי מגיש הבקשה-חובה'!$G$35,0)</f>
        <v>0</v>
      </c>
      <c r="E24" s="305">
        <v>300</v>
      </c>
      <c r="F24" s="44">
        <f t="shared" si="0"/>
        <v>0</v>
      </c>
      <c r="G24" s="255"/>
      <c r="H24" s="45">
        <f t="shared" si="1"/>
        <v>0</v>
      </c>
      <c r="I24" s="46" t="str">
        <f t="shared" si="2"/>
        <v/>
      </c>
      <c r="J24" s="297"/>
      <c r="L24" s="320"/>
      <c r="M24" s="47"/>
      <c r="N24" s="48"/>
      <c r="O24" s="49"/>
      <c r="P24" s="50"/>
      <c r="Q24" s="310"/>
      <c r="R24" s="52">
        <f t="shared" si="3"/>
        <v>0</v>
      </c>
      <c r="S24" s="53">
        <f t="shared" si="4"/>
        <v>0</v>
      </c>
      <c r="T24" s="48"/>
      <c r="U24" s="54"/>
      <c r="V24" s="33"/>
      <c r="W24" s="21"/>
      <c r="X24" s="21"/>
    </row>
    <row r="25" spans="1:24" s="151" customFormat="1" ht="13.5" customHeight="1" x14ac:dyDescent="0.25">
      <c r="A25" s="146"/>
      <c r="B25" s="147" t="s">
        <v>105</v>
      </c>
      <c r="C25" s="147"/>
      <c r="D25" s="148"/>
      <c r="E25" s="148"/>
      <c r="F25" s="148">
        <f>SUM(F13:F24)</f>
        <v>0</v>
      </c>
      <c r="G25" s="149"/>
      <c r="H25" s="150">
        <f>SUM(H13:H24)</f>
        <v>0</v>
      </c>
      <c r="I25" s="148"/>
      <c r="J25" s="148"/>
      <c r="L25" s="148">
        <f>SUM(L13:L24)</f>
        <v>0</v>
      </c>
      <c r="M25" s="152"/>
      <c r="N25" s="153"/>
      <c r="O25" s="154"/>
      <c r="P25" s="155"/>
      <c r="Q25" s="156">
        <f>SUM(Q13:Q24)</f>
        <v>0</v>
      </c>
      <c r="R25" s="157">
        <f t="shared" si="3"/>
        <v>0</v>
      </c>
      <c r="S25" s="158">
        <f t="shared" si="4"/>
        <v>0</v>
      </c>
      <c r="T25" s="159"/>
      <c r="U25" s="160"/>
      <c r="V25" s="161"/>
      <c r="W25" s="162"/>
      <c r="X25" s="162"/>
    </row>
    <row r="26" spans="1:24" ht="13.5" customHeight="1" x14ac:dyDescent="0.25">
      <c r="A26" s="21"/>
      <c r="B26" s="58"/>
      <c r="C26" s="58"/>
      <c r="D26" s="59"/>
      <c r="E26" s="59"/>
      <c r="F26" s="59"/>
      <c r="G26" s="60"/>
      <c r="H26" s="60"/>
      <c r="I26" s="59"/>
      <c r="J26" s="59"/>
      <c r="L26" s="59"/>
      <c r="M26" s="58"/>
      <c r="N26" s="29"/>
      <c r="O26" s="29"/>
      <c r="P26" s="21"/>
      <c r="Q26" s="21"/>
      <c r="R26" s="30"/>
      <c r="S26" s="21"/>
      <c r="T26" s="29"/>
      <c r="U26" s="31"/>
      <c r="V26" s="21"/>
      <c r="W26" s="21"/>
      <c r="X26" s="21"/>
    </row>
    <row r="27" spans="1:24" ht="13.5" customHeight="1" x14ac:dyDescent="0.25">
      <c r="A27" s="33">
        <v>1.2</v>
      </c>
      <c r="B27" s="34" t="s">
        <v>106</v>
      </c>
      <c r="C27" s="111"/>
      <c r="D27" s="35"/>
      <c r="E27" s="35"/>
      <c r="F27" s="36"/>
      <c r="G27" s="61" t="s">
        <v>107</v>
      </c>
      <c r="H27" s="62"/>
      <c r="I27" s="35"/>
      <c r="J27" s="36"/>
      <c r="L27" s="37" t="s">
        <v>83</v>
      </c>
      <c r="M27" s="38"/>
      <c r="N27" s="38" t="s">
        <v>84</v>
      </c>
      <c r="O27" s="38"/>
      <c r="P27" s="38"/>
      <c r="Q27" s="38"/>
      <c r="R27" s="38"/>
      <c r="S27" s="38"/>
      <c r="T27" s="38"/>
      <c r="U27" s="38"/>
      <c r="V27" s="39"/>
      <c r="W27" s="21"/>
      <c r="X27" s="21"/>
    </row>
    <row r="28" spans="1:24" ht="138" customHeight="1" x14ac:dyDescent="0.25">
      <c r="A28" s="55" t="str">
        <f t="shared" ref="A28:J28" si="10">A$12</f>
        <v xml:space="preserve">מס'  </v>
      </c>
      <c r="B28" s="55" t="str">
        <f t="shared" si="10"/>
        <v xml:space="preserve">ציוד </v>
      </c>
      <c r="C28" s="304" t="s">
        <v>242</v>
      </c>
      <c r="D28" s="55" t="str">
        <f t="shared" si="10"/>
        <v xml:space="preserve">כמות תקן   </v>
      </c>
      <c r="E28" s="55" t="str">
        <f t="shared" si="10"/>
        <v xml:space="preserve">מחיר התקן ליחידה כולל מע"מ   </v>
      </c>
      <c r="F28" s="55" t="str">
        <f t="shared" si="10"/>
        <v>עלות ציוד התקן כולל מע"מ</v>
      </c>
      <c r="G28" s="63" t="str">
        <f t="shared" si="10"/>
        <v>כמות הציוד המבוקש</v>
      </c>
      <c r="H28" s="63" t="str">
        <f t="shared" si="10"/>
        <v xml:space="preserve">סך עלות הציוד המבוקש כולל מע"מ  </v>
      </c>
      <c r="I28" s="55" t="str">
        <f t="shared" si="10"/>
        <v>התראת חריגה</v>
      </c>
      <c r="J28" s="55" t="str">
        <f t="shared" si="10"/>
        <v>הערות/ הסבר חריגות</v>
      </c>
      <c r="L28" s="40" t="s">
        <v>94</v>
      </c>
      <c r="M28" s="274" t="s">
        <v>95</v>
      </c>
      <c r="N28" s="91" t="s">
        <v>96</v>
      </c>
      <c r="O28" s="91" t="s">
        <v>97</v>
      </c>
      <c r="P28" s="91" t="s">
        <v>98</v>
      </c>
      <c r="Q28" s="90" t="s">
        <v>99</v>
      </c>
      <c r="R28" s="90" t="s">
        <v>100</v>
      </c>
      <c r="S28" s="91" t="s">
        <v>101</v>
      </c>
      <c r="T28" s="91" t="s">
        <v>102</v>
      </c>
      <c r="U28" s="41" t="s">
        <v>103</v>
      </c>
      <c r="V28" s="42" t="s">
        <v>104</v>
      </c>
      <c r="W28" s="21"/>
      <c r="X28" s="21"/>
    </row>
    <row r="29" spans="1:24" ht="13.5" customHeight="1" x14ac:dyDescent="0.3">
      <c r="A29" s="99">
        <v>1</v>
      </c>
      <c r="B29" s="290" t="s">
        <v>260</v>
      </c>
      <c r="C29" s="55" t="s">
        <v>244</v>
      </c>
      <c r="D29" s="144">
        <f>'שאלון למילוי מגיש הבקשה-חובה'!$G$35</f>
        <v>0</v>
      </c>
      <c r="E29" s="44">
        <v>5000</v>
      </c>
      <c r="F29" s="44">
        <f>D29*E29</f>
        <v>0</v>
      </c>
      <c r="G29" s="296"/>
      <c r="H29" s="45">
        <f>E29*G29</f>
        <v>0</v>
      </c>
      <c r="I29" s="46" t="str">
        <f>IF(G29&gt;D29,"נא להסביר חריגה","")</f>
        <v/>
      </c>
      <c r="J29" s="297"/>
      <c r="L29" s="320"/>
      <c r="M29" s="47"/>
      <c r="N29" s="48"/>
      <c r="O29" s="49"/>
      <c r="P29" s="50"/>
      <c r="Q29" s="51"/>
      <c r="R29" s="52">
        <f>IF(Q29="",0,Q29-H29)</f>
        <v>0</v>
      </c>
      <c r="S29" s="53">
        <f>IF(H29=0,0,R29/H29)</f>
        <v>0</v>
      </c>
      <c r="T29" s="48"/>
      <c r="U29" s="54"/>
      <c r="V29" s="33"/>
      <c r="W29" s="21"/>
      <c r="X29" s="21"/>
    </row>
    <row r="30" spans="1:24" ht="13.5" customHeight="1" x14ac:dyDescent="0.3">
      <c r="A30" s="99">
        <v>2</v>
      </c>
      <c r="B30" s="290" t="s">
        <v>269</v>
      </c>
      <c r="C30" s="55" t="s">
        <v>244</v>
      </c>
      <c r="D30" s="144">
        <f>'שאלון למילוי מגיש הבקשה-חובה'!$G$35</f>
        <v>0</v>
      </c>
      <c r="E30" s="44">
        <v>1500</v>
      </c>
      <c r="F30" s="44">
        <f>D30*E30</f>
        <v>0</v>
      </c>
      <c r="G30" s="296"/>
      <c r="H30" s="45">
        <f>E30*G30</f>
        <v>0</v>
      </c>
      <c r="I30" s="46" t="str">
        <f>IF(G30&gt;D30,"נא להסביר חריגה","")</f>
        <v/>
      </c>
      <c r="J30" s="297"/>
      <c r="L30" s="320"/>
      <c r="M30" s="47"/>
      <c r="N30" s="48"/>
      <c r="O30" s="49"/>
      <c r="P30" s="50"/>
      <c r="Q30" s="51"/>
      <c r="R30" s="52">
        <f>IF(Q30="",0,Q30-H30)</f>
        <v>0</v>
      </c>
      <c r="S30" s="53">
        <f>IF(H30=0,0,R30/H30)</f>
        <v>0</v>
      </c>
      <c r="T30" s="48"/>
      <c r="U30" s="54"/>
      <c r="V30" s="33"/>
      <c r="W30" s="21"/>
      <c r="X30" s="21"/>
    </row>
    <row r="31" spans="1:24" ht="13.5" customHeight="1" x14ac:dyDescent="0.3">
      <c r="A31" s="99">
        <v>3</v>
      </c>
      <c r="B31" s="290" t="s">
        <v>270</v>
      </c>
      <c r="C31" s="55" t="s">
        <v>244</v>
      </c>
      <c r="D31" s="144">
        <f>'שאלון למילוי מגיש הבקשה-חובה'!$G$35</f>
        <v>0</v>
      </c>
      <c r="E31" s="44">
        <v>6000</v>
      </c>
      <c r="F31" s="44">
        <f>D31*E31</f>
        <v>0</v>
      </c>
      <c r="G31" s="296"/>
      <c r="H31" s="45">
        <f>E31*G31</f>
        <v>0</v>
      </c>
      <c r="I31" s="46" t="str">
        <f>IF(G31&gt;D31,"נא להסביר חריגה","")</f>
        <v/>
      </c>
      <c r="J31" s="297"/>
      <c r="L31" s="320"/>
      <c r="M31" s="47"/>
      <c r="N31" s="48"/>
      <c r="O31" s="49"/>
      <c r="P31" s="50"/>
      <c r="Q31" s="51"/>
      <c r="R31" s="52">
        <f>IF(Q31="",0,Q31-H31)</f>
        <v>0</v>
      </c>
      <c r="S31" s="53">
        <f>IF(H31=0,0,R31/H31)</f>
        <v>0</v>
      </c>
      <c r="T31" s="48"/>
      <c r="U31" s="54"/>
      <c r="V31" s="33"/>
      <c r="W31" s="21"/>
      <c r="X31" s="21"/>
    </row>
    <row r="32" spans="1:24" s="151" customFormat="1" ht="13.5" customHeight="1" x14ac:dyDescent="0.25">
      <c r="A32" s="163"/>
      <c r="B32" s="164" t="s">
        <v>108</v>
      </c>
      <c r="C32" s="164"/>
      <c r="D32" s="145"/>
      <c r="E32" s="145"/>
      <c r="F32" s="145">
        <f>SUM(F29:F31)</f>
        <v>0</v>
      </c>
      <c r="G32" s="165"/>
      <c r="H32" s="140">
        <f>SUM(H29:H31)</f>
        <v>0</v>
      </c>
      <c r="I32" s="166" t="str">
        <f>IF(G32&gt;D32,"נא להסביר חריגה כאן","")</f>
        <v/>
      </c>
      <c r="J32" s="166"/>
      <c r="L32" s="145">
        <f>SUM(L29:L31)</f>
        <v>0</v>
      </c>
      <c r="M32" s="167"/>
      <c r="N32" s="153"/>
      <c r="O32" s="164"/>
      <c r="P32" s="145"/>
      <c r="Q32" s="145">
        <f>SUM(Q29:Q31)</f>
        <v>0</v>
      </c>
      <c r="R32" s="157">
        <f>IF(Q32="",0,Q32-H32)</f>
        <v>0</v>
      </c>
      <c r="S32" s="158">
        <f>IF(H32=0,0,R32/H32)</f>
        <v>0</v>
      </c>
      <c r="T32" s="159"/>
      <c r="U32" s="160"/>
      <c r="V32" s="161"/>
      <c r="W32" s="162"/>
      <c r="X32" s="162"/>
    </row>
    <row r="33" spans="1:24" ht="13.5" customHeight="1" x14ac:dyDescent="0.25">
      <c r="A33" s="59"/>
      <c r="B33" s="65"/>
      <c r="C33" s="65"/>
      <c r="D33" s="66"/>
      <c r="E33" s="66"/>
      <c r="F33" s="66"/>
      <c r="G33" s="67"/>
      <c r="H33" s="67"/>
      <c r="I33" s="68"/>
      <c r="J33" s="68"/>
      <c r="L33" s="68"/>
      <c r="M33" s="69"/>
      <c r="N33" s="70"/>
      <c r="O33" s="65"/>
      <c r="P33" s="21"/>
      <c r="Q33" s="21"/>
      <c r="R33" s="30"/>
      <c r="S33" s="21"/>
      <c r="T33" s="29"/>
      <c r="U33" s="31"/>
      <c r="V33" s="21"/>
      <c r="W33" s="21"/>
      <c r="X33" s="21"/>
    </row>
    <row r="34" spans="1:24" ht="13.5" customHeight="1" x14ac:dyDescent="0.25">
      <c r="A34" s="33">
        <v>1.3</v>
      </c>
      <c r="B34" s="34" t="s">
        <v>109</v>
      </c>
      <c r="C34" s="111"/>
      <c r="D34" s="35"/>
      <c r="E34" s="35"/>
      <c r="F34" s="36"/>
      <c r="G34" s="61" t="s">
        <v>110</v>
      </c>
      <c r="H34" s="62"/>
      <c r="I34" s="35"/>
      <c r="J34" s="36"/>
      <c r="L34" s="37" t="s">
        <v>83</v>
      </c>
      <c r="M34" s="38"/>
      <c r="N34" s="38" t="s">
        <v>84</v>
      </c>
      <c r="O34" s="38"/>
      <c r="P34" s="38"/>
      <c r="Q34" s="38"/>
      <c r="R34" s="38"/>
      <c r="S34" s="38"/>
      <c r="T34" s="38"/>
      <c r="U34" s="38"/>
      <c r="V34" s="39"/>
      <c r="W34" s="21"/>
      <c r="X34" s="21"/>
    </row>
    <row r="35" spans="1:24" ht="69" customHeight="1" x14ac:dyDescent="0.25">
      <c r="A35" s="55" t="str">
        <f t="shared" ref="A35:J35" si="11">A$12</f>
        <v xml:space="preserve">מס'  </v>
      </c>
      <c r="B35" s="55" t="str">
        <f t="shared" si="11"/>
        <v xml:space="preserve">ציוד </v>
      </c>
      <c r="C35" s="304" t="s">
        <v>242</v>
      </c>
      <c r="D35" s="55" t="str">
        <f t="shared" si="11"/>
        <v xml:space="preserve">כמות תקן   </v>
      </c>
      <c r="E35" s="55" t="str">
        <f t="shared" si="11"/>
        <v xml:space="preserve">מחיר התקן ליחידה כולל מע"מ   </v>
      </c>
      <c r="F35" s="55" t="str">
        <f t="shared" si="11"/>
        <v>עלות ציוד התקן כולל מע"מ</v>
      </c>
      <c r="G35" s="63" t="str">
        <f t="shared" si="11"/>
        <v>כמות הציוד המבוקש</v>
      </c>
      <c r="H35" s="63" t="str">
        <f t="shared" si="11"/>
        <v xml:space="preserve">סך עלות הציוד המבוקש כולל מע"מ  </v>
      </c>
      <c r="I35" s="55" t="str">
        <f t="shared" si="11"/>
        <v>התראת חריגה</v>
      </c>
      <c r="J35" s="55" t="str">
        <f t="shared" si="11"/>
        <v>הערות/ הסבר חריגות</v>
      </c>
      <c r="L35" s="40" t="s">
        <v>94</v>
      </c>
      <c r="M35" s="274" t="s">
        <v>95</v>
      </c>
      <c r="N35" s="91" t="s">
        <v>96</v>
      </c>
      <c r="O35" s="91" t="s">
        <v>97</v>
      </c>
      <c r="P35" s="91" t="s">
        <v>98</v>
      </c>
      <c r="Q35" s="90" t="s">
        <v>99</v>
      </c>
      <c r="R35" s="90" t="s">
        <v>100</v>
      </c>
      <c r="S35" s="91" t="s">
        <v>101</v>
      </c>
      <c r="T35" s="91" t="s">
        <v>102</v>
      </c>
      <c r="U35" s="41" t="s">
        <v>103</v>
      </c>
      <c r="V35" s="42" t="s">
        <v>104</v>
      </c>
      <c r="W35" s="21"/>
      <c r="X35" s="21"/>
    </row>
    <row r="36" spans="1:24" ht="28.2" x14ac:dyDescent="0.3">
      <c r="A36" s="99">
        <v>1</v>
      </c>
      <c r="B36" s="290" t="s">
        <v>271</v>
      </c>
      <c r="C36" s="55" t="s">
        <v>332</v>
      </c>
      <c r="D36" s="144">
        <f>'שאלון למילוי מגיש הבקשה-חובה'!$G$35</f>
        <v>0</v>
      </c>
      <c r="E36" s="44">
        <v>6000</v>
      </c>
      <c r="F36" s="44">
        <f>D36*E36</f>
        <v>0</v>
      </c>
      <c r="G36" s="296"/>
      <c r="H36" s="45">
        <f>E36*G36</f>
        <v>0</v>
      </c>
      <c r="I36" s="46" t="str">
        <f>IF(G36&gt;D36,"נא להסביר חריגה","")</f>
        <v/>
      </c>
      <c r="J36" s="297"/>
      <c r="L36" s="320"/>
      <c r="M36" s="47"/>
      <c r="N36" s="48"/>
      <c r="O36" s="49"/>
      <c r="P36" s="50"/>
      <c r="Q36" s="51"/>
      <c r="R36" s="52">
        <f>IF(Q36="",0,Q36-H36)</f>
        <v>0</v>
      </c>
      <c r="S36" s="53">
        <f>IF(H36=0,0,R36/H36)</f>
        <v>0</v>
      </c>
      <c r="T36" s="48"/>
      <c r="U36" s="54"/>
      <c r="V36" s="33"/>
      <c r="W36" s="21"/>
      <c r="X36" s="21"/>
    </row>
    <row r="37" spans="1:24" ht="13.5" customHeight="1" x14ac:dyDescent="0.3">
      <c r="A37" s="99">
        <v>2</v>
      </c>
      <c r="B37" s="290" t="s">
        <v>272</v>
      </c>
      <c r="C37" s="55" t="s">
        <v>244</v>
      </c>
      <c r="D37" s="144">
        <f>'שאלון למילוי מגיש הבקשה-חובה'!$G$35</f>
        <v>0</v>
      </c>
      <c r="E37" s="44">
        <v>5000</v>
      </c>
      <c r="F37" s="44">
        <f>D37*E37</f>
        <v>0</v>
      </c>
      <c r="G37" s="296"/>
      <c r="H37" s="45">
        <f>E37*G37</f>
        <v>0</v>
      </c>
      <c r="I37" s="46" t="str">
        <f>IF(G37&gt;D37,"נא להסביר חריגה","")</f>
        <v/>
      </c>
      <c r="J37" s="297"/>
      <c r="L37" s="320"/>
      <c r="M37" s="47"/>
      <c r="N37" s="48"/>
      <c r="O37" s="49"/>
      <c r="P37" s="50"/>
      <c r="Q37" s="51"/>
      <c r="R37" s="52">
        <f>IF(Q37="",0,Q37-H37)</f>
        <v>0</v>
      </c>
      <c r="S37" s="53">
        <f>IF(H37=0,0,R37/H37)</f>
        <v>0</v>
      </c>
      <c r="T37" s="48"/>
      <c r="U37" s="54"/>
      <c r="V37" s="33"/>
      <c r="W37" s="21"/>
      <c r="X37" s="21"/>
    </row>
    <row r="38" spans="1:24" s="151" customFormat="1" ht="13.5" customHeight="1" x14ac:dyDescent="0.25">
      <c r="A38" s="163"/>
      <c r="B38" s="164" t="s">
        <v>111</v>
      </c>
      <c r="C38" s="164"/>
      <c r="D38" s="145"/>
      <c r="E38" s="145"/>
      <c r="F38" s="145">
        <f>SUM(F36:F37)</f>
        <v>0</v>
      </c>
      <c r="G38" s="165"/>
      <c r="H38" s="140">
        <f>SUM(H36:H37)</f>
        <v>0</v>
      </c>
      <c r="I38" s="166" t="str">
        <f>IF(G38&gt;D38,"נא להסביר חריגה כאן","")</f>
        <v/>
      </c>
      <c r="J38" s="166"/>
      <c r="L38" s="145">
        <f>SUM(L36:L37)</f>
        <v>0</v>
      </c>
      <c r="M38" s="167"/>
      <c r="N38" s="153"/>
      <c r="O38" s="164"/>
      <c r="P38" s="145"/>
      <c r="Q38" s="145">
        <f>SUM(Q36:Q37)</f>
        <v>0</v>
      </c>
      <c r="R38" s="157">
        <f>IF(Q38="",0,Q38-H38)</f>
        <v>0</v>
      </c>
      <c r="S38" s="158">
        <f>IF(H38=0,0,R38/H38)</f>
        <v>0</v>
      </c>
      <c r="T38" s="159"/>
      <c r="U38" s="160"/>
      <c r="V38" s="161"/>
      <c r="W38" s="162"/>
      <c r="X38" s="162"/>
    </row>
    <row r="39" spans="1:24" ht="13.5" customHeight="1" x14ac:dyDescent="0.25">
      <c r="A39" s="59"/>
      <c r="B39" s="58"/>
      <c r="C39" s="58"/>
      <c r="D39" s="66"/>
      <c r="E39" s="66"/>
      <c r="F39" s="66"/>
      <c r="G39" s="71"/>
      <c r="H39" s="1"/>
      <c r="I39" s="21"/>
      <c r="J39" s="21"/>
      <c r="L39" s="21"/>
      <c r="M39" s="21"/>
      <c r="N39" s="29"/>
      <c r="O39" s="21"/>
      <c r="P39" s="21"/>
      <c r="Q39" s="21"/>
      <c r="R39" s="30"/>
      <c r="S39" s="21"/>
      <c r="T39" s="29"/>
      <c r="U39" s="31"/>
      <c r="V39" s="21"/>
      <c r="W39" s="21"/>
      <c r="X39" s="21"/>
    </row>
    <row r="40" spans="1:24" ht="13.5" customHeight="1" x14ac:dyDescent="0.25">
      <c r="A40" s="33">
        <v>1.4</v>
      </c>
      <c r="B40" s="34" t="s">
        <v>112</v>
      </c>
      <c r="C40" s="111"/>
      <c r="D40" s="35"/>
      <c r="E40" s="35"/>
      <c r="F40" s="36"/>
      <c r="G40" s="61" t="s">
        <v>113</v>
      </c>
      <c r="H40" s="62"/>
      <c r="I40" s="35"/>
      <c r="J40" s="36"/>
      <c r="L40" s="37" t="s">
        <v>83</v>
      </c>
      <c r="M40" s="38"/>
      <c r="N40" s="38" t="s">
        <v>84</v>
      </c>
      <c r="O40" s="38"/>
      <c r="P40" s="38"/>
      <c r="Q40" s="38"/>
      <c r="R40" s="38"/>
      <c r="S40" s="38"/>
      <c r="T40" s="38"/>
      <c r="U40" s="38"/>
      <c r="V40" s="39"/>
      <c r="W40" s="21"/>
      <c r="X40" s="21"/>
    </row>
    <row r="41" spans="1:24" ht="69" x14ac:dyDescent="0.25">
      <c r="A41" s="55" t="str">
        <f t="shared" ref="A41:J41" si="12">A$12</f>
        <v xml:space="preserve">מס'  </v>
      </c>
      <c r="B41" s="55" t="str">
        <f t="shared" si="12"/>
        <v xml:space="preserve">ציוד </v>
      </c>
      <c r="C41" s="304" t="s">
        <v>242</v>
      </c>
      <c r="D41" s="55" t="str">
        <f t="shared" si="12"/>
        <v xml:space="preserve">כמות תקן   </v>
      </c>
      <c r="E41" s="55" t="str">
        <f t="shared" si="12"/>
        <v xml:space="preserve">מחיר התקן ליחידה כולל מע"מ   </v>
      </c>
      <c r="F41" s="55" t="str">
        <f t="shared" si="12"/>
        <v>עלות ציוד התקן כולל מע"מ</v>
      </c>
      <c r="G41" s="63" t="str">
        <f t="shared" si="12"/>
        <v>כמות הציוד המבוקש</v>
      </c>
      <c r="H41" s="63" t="str">
        <f t="shared" si="12"/>
        <v xml:space="preserve">סך עלות הציוד המבוקש כולל מע"מ  </v>
      </c>
      <c r="I41" s="55" t="str">
        <f t="shared" si="12"/>
        <v>התראת חריגה</v>
      </c>
      <c r="J41" s="55" t="str">
        <f t="shared" si="12"/>
        <v>הערות/ הסבר חריגות</v>
      </c>
      <c r="L41" s="40" t="s">
        <v>94</v>
      </c>
      <c r="M41" s="274" t="s">
        <v>95</v>
      </c>
      <c r="N41" s="91" t="s">
        <v>96</v>
      </c>
      <c r="O41" s="91" t="s">
        <v>97</v>
      </c>
      <c r="P41" s="91" t="s">
        <v>98</v>
      </c>
      <c r="Q41" s="90" t="s">
        <v>99</v>
      </c>
      <c r="R41" s="90" t="s">
        <v>100</v>
      </c>
      <c r="S41" s="91" t="s">
        <v>101</v>
      </c>
      <c r="T41" s="91" t="s">
        <v>102</v>
      </c>
      <c r="U41" s="41" t="s">
        <v>103</v>
      </c>
      <c r="V41" s="42" t="s">
        <v>104</v>
      </c>
      <c r="W41" s="21"/>
      <c r="X41" s="21"/>
    </row>
    <row r="42" spans="1:24" ht="28.2" x14ac:dyDescent="0.3">
      <c r="A42" s="102">
        <v>1</v>
      </c>
      <c r="B42" s="55" t="s">
        <v>330</v>
      </c>
      <c r="C42" s="55" t="s">
        <v>273</v>
      </c>
      <c r="D42" s="144">
        <f>ROUNDUP(1.3*'שאלון למילוי מגיש הבקשה-חובה'!$G$35,0)</f>
        <v>0</v>
      </c>
      <c r="E42" s="56">
        <v>1500</v>
      </c>
      <c r="F42" s="44">
        <f t="shared" ref="F42" si="13">D42*E42</f>
        <v>0</v>
      </c>
      <c r="G42" s="296"/>
      <c r="H42" s="45">
        <f t="shared" ref="H42" si="14">E42*G42</f>
        <v>0</v>
      </c>
      <c r="I42" s="46" t="str">
        <f t="shared" ref="I42" si="15">IF(G42&gt;D42,"נא להסביר חריגה","")</f>
        <v/>
      </c>
      <c r="J42" s="297"/>
      <c r="L42" s="320"/>
      <c r="M42" s="47"/>
      <c r="N42" s="48"/>
      <c r="O42" s="49"/>
      <c r="P42" s="50"/>
      <c r="Q42" s="51"/>
      <c r="R42" s="52">
        <f t="shared" ref="R42" si="16">IF(Q42="",0,Q42-H42)</f>
        <v>0</v>
      </c>
      <c r="S42" s="53">
        <f t="shared" ref="S42" si="17">IF(H42=0,0,R42/H42)</f>
        <v>0</v>
      </c>
      <c r="T42" s="48"/>
      <c r="U42" s="54"/>
      <c r="V42" s="33"/>
      <c r="W42" s="21"/>
      <c r="X42" s="21"/>
    </row>
    <row r="43" spans="1:24" ht="13.5" customHeight="1" x14ac:dyDescent="0.25">
      <c r="A43" s="59"/>
      <c r="B43" s="65"/>
      <c r="C43" s="65"/>
      <c r="D43" s="66"/>
      <c r="E43" s="66"/>
      <c r="F43" s="66"/>
      <c r="G43" s="67"/>
      <c r="H43" s="71"/>
      <c r="I43" s="68"/>
      <c r="J43" s="68"/>
      <c r="L43" s="66"/>
      <c r="M43" s="69"/>
      <c r="N43" s="70"/>
      <c r="O43" s="65"/>
      <c r="P43" s="68"/>
      <c r="Q43" s="68"/>
      <c r="R43" s="30"/>
      <c r="S43" s="72"/>
      <c r="T43" s="29"/>
      <c r="U43" s="31"/>
      <c r="V43" s="21"/>
      <c r="W43" s="21"/>
      <c r="X43" s="21"/>
    </row>
    <row r="44" spans="1:24" s="24" customFormat="1" ht="28.2" x14ac:dyDescent="0.3">
      <c r="A44" s="73" t="s">
        <v>114</v>
      </c>
      <c r="B44" s="74" t="str">
        <f>B10</f>
        <v xml:space="preserve">קטגוריה א'- ציוד וריהוט לחדרי קבוצות  </v>
      </c>
      <c r="C44" s="74"/>
      <c r="D44" s="75"/>
      <c r="E44" s="75"/>
      <c r="F44" s="75"/>
      <c r="G44" s="76"/>
      <c r="H44" s="76"/>
      <c r="I44" s="77"/>
      <c r="J44" s="77"/>
      <c r="K44" s="23"/>
      <c r="L44" s="77"/>
      <c r="M44" s="78"/>
      <c r="N44" s="79"/>
      <c r="O44" s="74"/>
      <c r="P44" s="80"/>
      <c r="Q44" s="80"/>
      <c r="R44" s="81"/>
      <c r="S44" s="80"/>
      <c r="T44" s="82"/>
      <c r="U44" s="31"/>
      <c r="V44" s="80"/>
      <c r="W44" s="80"/>
      <c r="X44" s="80"/>
    </row>
    <row r="45" spans="1:24" ht="54.75" customHeight="1" x14ac:dyDescent="0.25">
      <c r="A45" s="34"/>
      <c r="B45" s="83" t="str">
        <f>B44</f>
        <v xml:space="preserve">קטגוריה א'- ציוד וריהוט לחדרי קבוצות  </v>
      </c>
      <c r="C45" s="83"/>
      <c r="D45" s="84"/>
      <c r="E45" s="85"/>
      <c r="F45" s="55" t="str">
        <f>F$12</f>
        <v>עלות ציוד התקן כולל מע"מ</v>
      </c>
      <c r="G45" s="63"/>
      <c r="H45" s="63" t="str">
        <f>H$12</f>
        <v xml:space="preserve">סך עלות הציוד המבוקש כולל מע"מ  </v>
      </c>
      <c r="I45" s="86"/>
      <c r="J45" s="87"/>
      <c r="L45" s="55" t="str">
        <f>L$12</f>
        <v>צפי עלות רכישה כולל מע"מ</v>
      </c>
      <c r="M45" s="88"/>
      <c r="N45" s="89"/>
      <c r="O45" s="89"/>
      <c r="P45" s="89"/>
      <c r="Q45" s="90" t="s">
        <v>99</v>
      </c>
      <c r="R45" s="90" t="s">
        <v>115</v>
      </c>
      <c r="S45" s="91" t="s">
        <v>101</v>
      </c>
      <c r="T45" s="83"/>
      <c r="U45" s="92"/>
      <c r="V45" s="36"/>
      <c r="W45" s="21"/>
      <c r="X45" s="21"/>
    </row>
    <row r="46" spans="1:24" s="187" customFormat="1" x14ac:dyDescent="0.3">
      <c r="A46" s="168"/>
      <c r="B46" s="169" t="s">
        <v>231</v>
      </c>
      <c r="C46" s="169"/>
      <c r="D46" s="170"/>
      <c r="E46" s="171"/>
      <c r="F46" s="172">
        <f>F25+F32+F38+F42</f>
        <v>0</v>
      </c>
      <c r="G46" s="173"/>
      <c r="H46" s="172">
        <f>H25+H32+H38+H42</f>
        <v>0</v>
      </c>
      <c r="I46" s="175"/>
      <c r="J46" s="176"/>
      <c r="K46" s="177"/>
      <c r="L46" s="172">
        <f>L25+L32+L38+L42</f>
        <v>0</v>
      </c>
      <c r="M46" s="175"/>
      <c r="N46" s="179"/>
      <c r="O46" s="180"/>
      <c r="P46" s="181"/>
      <c r="Q46" s="172">
        <f>Q25+Q32+Q38+Q42</f>
        <v>0</v>
      </c>
      <c r="R46" s="188">
        <f t="shared" ref="R46" si="18">IF(Q46="",0,Q46-H46)</f>
        <v>0</v>
      </c>
      <c r="S46" s="182">
        <f>IF(H46=0,0,R46/H46)</f>
        <v>0</v>
      </c>
      <c r="T46" s="183"/>
      <c r="U46" s="184"/>
      <c r="V46" s="185"/>
      <c r="W46" s="186"/>
      <c r="X46" s="186"/>
    </row>
    <row r="47" spans="1:24" ht="13.2" customHeight="1" x14ac:dyDescent="0.25">
      <c r="A47" s="21"/>
      <c r="B47" s="28"/>
      <c r="C47" s="28"/>
      <c r="D47" s="21"/>
      <c r="E47" s="21"/>
      <c r="F47" s="21"/>
      <c r="G47" s="21"/>
      <c r="H47" s="21"/>
      <c r="I47" s="21"/>
      <c r="J47" s="21"/>
      <c r="L47" s="21"/>
      <c r="M47" s="21"/>
      <c r="N47" s="29"/>
      <c r="O47" s="21"/>
      <c r="P47" s="21"/>
      <c r="Q47" s="21"/>
      <c r="R47" s="30"/>
      <c r="S47" s="21"/>
      <c r="T47" s="29"/>
      <c r="U47" s="31"/>
      <c r="V47" s="21"/>
      <c r="W47" s="21"/>
      <c r="X47" s="21"/>
    </row>
    <row r="48" spans="1:24" ht="13.5" customHeight="1" x14ac:dyDescent="0.25">
      <c r="A48" s="21"/>
      <c r="B48" s="28"/>
      <c r="C48" s="28"/>
      <c r="D48" s="21"/>
      <c r="E48" s="21"/>
      <c r="F48" s="21"/>
      <c r="G48" s="21"/>
      <c r="H48" s="21"/>
      <c r="I48" s="21"/>
      <c r="J48" s="21"/>
      <c r="L48" s="21"/>
      <c r="M48" s="21"/>
      <c r="N48" s="29"/>
      <c r="O48" s="21"/>
      <c r="P48" s="21"/>
      <c r="Q48" s="21"/>
      <c r="R48" s="30"/>
      <c r="S48" s="21"/>
      <c r="T48" s="29"/>
      <c r="U48" s="31"/>
      <c r="V48" s="21"/>
      <c r="W48" s="21"/>
      <c r="X48" s="21"/>
    </row>
    <row r="49" spans="1:24" ht="13.5" customHeight="1" x14ac:dyDescent="0.25">
      <c r="A49" s="21"/>
      <c r="B49" s="28"/>
      <c r="C49" s="28"/>
      <c r="D49" s="21"/>
      <c r="E49" s="21"/>
      <c r="F49" s="21"/>
      <c r="G49" s="21"/>
      <c r="H49" s="21"/>
      <c r="I49" s="21"/>
      <c r="J49" s="21"/>
      <c r="L49" s="21"/>
      <c r="M49" s="21"/>
      <c r="N49" s="29"/>
      <c r="O49" s="21"/>
      <c r="P49" s="21"/>
      <c r="Q49" s="21"/>
      <c r="R49" s="30"/>
      <c r="S49" s="21"/>
      <c r="T49" s="29"/>
      <c r="U49" s="31"/>
      <c r="V49" s="21"/>
      <c r="W49" s="21"/>
      <c r="X49" s="21"/>
    </row>
    <row r="50" spans="1:24" ht="13.5" customHeight="1" x14ac:dyDescent="0.25">
      <c r="A50" s="21"/>
      <c r="B50" s="28"/>
      <c r="C50" s="28"/>
      <c r="D50" s="21"/>
      <c r="E50" s="21"/>
      <c r="F50" s="21"/>
      <c r="G50" s="21"/>
      <c r="H50" s="21"/>
      <c r="I50" s="21"/>
      <c r="J50" s="21"/>
      <c r="L50" s="21"/>
      <c r="M50" s="21"/>
      <c r="N50" s="29"/>
      <c r="O50" s="21"/>
      <c r="P50" s="21"/>
      <c r="Q50" s="21"/>
      <c r="R50" s="30"/>
      <c r="S50" s="21"/>
      <c r="T50" s="29"/>
      <c r="U50" s="31"/>
      <c r="V50" s="21"/>
      <c r="W50" s="21"/>
      <c r="X50" s="21"/>
    </row>
    <row r="51" spans="1:24" ht="13.5" customHeight="1" x14ac:dyDescent="0.25">
      <c r="A51" s="21"/>
      <c r="B51" s="28"/>
      <c r="C51" s="28"/>
      <c r="D51" s="21"/>
      <c r="E51" s="21"/>
      <c r="F51" s="21"/>
      <c r="G51" s="21"/>
      <c r="H51" s="21"/>
      <c r="I51" s="21"/>
      <c r="J51" s="21"/>
      <c r="L51" s="21"/>
      <c r="M51" s="21"/>
      <c r="N51" s="29"/>
      <c r="O51" s="21"/>
      <c r="P51" s="21"/>
      <c r="Q51" s="21"/>
      <c r="R51" s="30"/>
      <c r="S51" s="21"/>
      <c r="T51" s="29"/>
      <c r="U51" s="31"/>
      <c r="V51" s="21"/>
      <c r="W51" s="21"/>
      <c r="X51" s="21"/>
    </row>
    <row r="52" spans="1:24" ht="13.5" customHeight="1" x14ac:dyDescent="0.25">
      <c r="A52" s="21"/>
      <c r="B52" s="28"/>
      <c r="C52" s="28"/>
      <c r="D52" s="21"/>
      <c r="E52" s="21"/>
      <c r="F52" s="21"/>
      <c r="G52" s="21"/>
      <c r="H52" s="21"/>
      <c r="I52" s="21"/>
      <c r="J52" s="21"/>
      <c r="L52" s="21"/>
      <c r="M52" s="21"/>
      <c r="N52" s="29"/>
      <c r="O52" s="21"/>
      <c r="P52" s="21"/>
      <c r="Q52" s="21"/>
      <c r="R52" s="30"/>
      <c r="S52" s="21"/>
      <c r="T52" s="29"/>
      <c r="U52" s="31"/>
      <c r="V52" s="21"/>
      <c r="W52" s="21"/>
      <c r="X52" s="21"/>
    </row>
    <row r="53" spans="1:24" ht="13.5" customHeight="1" x14ac:dyDescent="0.25">
      <c r="A53" s="21"/>
      <c r="B53" s="28"/>
      <c r="C53" s="28"/>
      <c r="D53" s="21"/>
      <c r="E53" s="21"/>
      <c r="F53" s="21"/>
      <c r="G53" s="21"/>
      <c r="H53" s="21"/>
      <c r="I53" s="21"/>
      <c r="J53" s="21"/>
      <c r="L53" s="21"/>
      <c r="M53" s="21"/>
      <c r="N53" s="29"/>
      <c r="O53" s="21"/>
      <c r="P53" s="21"/>
      <c r="Q53" s="21"/>
      <c r="R53" s="30"/>
      <c r="S53" s="21"/>
      <c r="T53" s="29"/>
      <c r="U53" s="31"/>
      <c r="V53" s="21"/>
      <c r="W53" s="21"/>
      <c r="X53" s="21"/>
    </row>
    <row r="54" spans="1:24" ht="13.5" customHeight="1" x14ac:dyDescent="0.25">
      <c r="A54" s="21"/>
      <c r="B54" s="28"/>
      <c r="C54" s="28"/>
      <c r="D54" s="21"/>
      <c r="E54" s="21"/>
      <c r="F54" s="21"/>
      <c r="G54" s="21"/>
      <c r="H54" s="21"/>
      <c r="I54" s="21"/>
      <c r="J54" s="21"/>
      <c r="L54" s="21"/>
      <c r="M54" s="21"/>
      <c r="N54" s="29"/>
      <c r="O54" s="21"/>
      <c r="P54" s="21"/>
      <c r="Q54" s="21"/>
      <c r="R54" s="30"/>
      <c r="S54" s="21"/>
      <c r="T54" s="29"/>
      <c r="U54" s="31"/>
      <c r="V54" s="21"/>
      <c r="W54" s="21"/>
      <c r="X54" s="21"/>
    </row>
    <row r="55" spans="1:24" ht="13.5" customHeight="1" x14ac:dyDescent="0.25">
      <c r="A55" s="21"/>
      <c r="B55" s="28"/>
      <c r="C55" s="28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9"/>
      <c r="O55" s="21"/>
      <c r="P55" s="21"/>
      <c r="Q55" s="21"/>
      <c r="R55" s="30"/>
      <c r="S55" s="21"/>
      <c r="T55" s="29"/>
      <c r="U55" s="31"/>
      <c r="V55" s="21"/>
      <c r="W55" s="21"/>
      <c r="X55" s="21"/>
    </row>
    <row r="56" spans="1:24" ht="13.5" customHeight="1" x14ac:dyDescent="0.25">
      <c r="A56" s="21"/>
      <c r="B56" s="28"/>
      <c r="C56" s="2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9"/>
      <c r="O56" s="21"/>
      <c r="P56" s="21"/>
      <c r="Q56" s="21"/>
      <c r="R56" s="30"/>
      <c r="S56" s="21"/>
      <c r="T56" s="29"/>
      <c r="U56" s="31"/>
      <c r="V56" s="21"/>
      <c r="W56" s="21"/>
      <c r="X56" s="21"/>
    </row>
    <row r="57" spans="1:24" ht="13.5" customHeight="1" x14ac:dyDescent="0.25">
      <c r="A57" s="21"/>
      <c r="B57" s="28"/>
      <c r="C57" s="28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9"/>
      <c r="O57" s="21"/>
      <c r="P57" s="21"/>
      <c r="Q57" s="21"/>
      <c r="R57" s="30"/>
      <c r="S57" s="21"/>
      <c r="T57" s="29"/>
      <c r="U57" s="31"/>
      <c r="V57" s="21"/>
      <c r="W57" s="21"/>
      <c r="X57" s="21"/>
    </row>
    <row r="58" spans="1:24" ht="13.5" customHeight="1" x14ac:dyDescent="0.25">
      <c r="A58" s="21"/>
      <c r="B58" s="28"/>
      <c r="C58" s="28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9"/>
      <c r="O58" s="21"/>
      <c r="P58" s="21"/>
      <c r="Q58" s="21"/>
      <c r="R58" s="30"/>
      <c r="S58" s="21"/>
      <c r="T58" s="29"/>
      <c r="U58" s="31"/>
      <c r="V58" s="21"/>
      <c r="W58" s="21"/>
      <c r="X58" s="21"/>
    </row>
    <row r="59" spans="1:24" ht="13.5" customHeight="1" x14ac:dyDescent="0.25">
      <c r="A59" s="21"/>
      <c r="B59" s="28"/>
      <c r="C59" s="28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9"/>
      <c r="O59" s="21"/>
      <c r="P59" s="21"/>
      <c r="Q59" s="21"/>
      <c r="R59" s="30"/>
      <c r="S59" s="21"/>
      <c r="T59" s="29"/>
      <c r="U59" s="31"/>
      <c r="V59" s="21"/>
      <c r="W59" s="21"/>
      <c r="X59" s="21"/>
    </row>
    <row r="60" spans="1:24" ht="13.5" customHeight="1" x14ac:dyDescent="0.3">
      <c r="H60" s="21"/>
    </row>
    <row r="61" spans="1:24" ht="13.5" customHeight="1" x14ac:dyDescent="0.3">
      <c r="H61" s="21"/>
    </row>
    <row r="62" spans="1:24" ht="13.5" customHeight="1" x14ac:dyDescent="0.3">
      <c r="H62" s="21"/>
    </row>
    <row r="63" spans="1:24" ht="13.5" customHeight="1" x14ac:dyDescent="0.3">
      <c r="H63" s="21"/>
    </row>
  </sheetData>
  <sheetProtection algorithmName="SHA-512" hashValue="lLv7A4UFjAKjCVLlRMJrGb5XcHMlvIml7GuJX4I+Jd6nTFOkvoNpXuj4U4nNf8wWiysHyIeR7Ik3z8tx2o3vrQ==" saltValue="r5WDDzakpQYf+98SAIXMUA==" spinCount="100000" sheet="1" formatCells="0" formatColumns="0" formatRows="0"/>
  <conditionalFormatting sqref="I13:I24">
    <cfRule type="cellIs" dxfId="88" priority="41" operator="equal">
      <formula>"נא להסביר חריגה"</formula>
    </cfRule>
    <cfRule type="cellIs" dxfId="87" priority="42" operator="equal">
      <formula>"נא להסביר חריגה"</formula>
    </cfRule>
    <cfRule type="containsText" dxfId="86" priority="43" operator="containsText" text="נא להסביר חריגה כאן">
      <formula>NOT(ISERROR(SEARCH("נא להסביר חריגה כאן",I13)))</formula>
    </cfRule>
  </conditionalFormatting>
  <conditionalFormatting sqref="I29:I31">
    <cfRule type="cellIs" dxfId="85" priority="16" operator="equal">
      <formula>"נא להסביר חריגה"</formula>
    </cfRule>
    <cfRule type="cellIs" dxfId="84" priority="17" operator="equal">
      <formula>"נא להסביר חריגה"</formula>
    </cfRule>
    <cfRule type="containsText" dxfId="83" priority="18" operator="containsText" text="נא להסביר חריגה כאן">
      <formula>NOT(ISERROR(SEARCH("נא להסביר חריגה כאן",I29)))</formula>
    </cfRule>
  </conditionalFormatting>
  <conditionalFormatting sqref="I36:I37">
    <cfRule type="cellIs" dxfId="82" priority="13" operator="equal">
      <formula>"נא להסביר חריגה"</formula>
    </cfRule>
    <cfRule type="cellIs" dxfId="81" priority="14" operator="equal">
      <formula>"נא להסביר חריגה"</formula>
    </cfRule>
  </conditionalFormatting>
  <conditionalFormatting sqref="I42">
    <cfRule type="cellIs" dxfId="80" priority="10" operator="equal">
      <formula>"נא להסביר חריגה"</formula>
    </cfRule>
    <cfRule type="cellIs" dxfId="79" priority="11" operator="equal">
      <formula>"נא להסביר חריגה"</formula>
    </cfRule>
    <cfRule type="containsText" dxfId="78" priority="12" operator="containsText" text="נא להסביר חריגה כאן">
      <formula>NOT(ISERROR(SEARCH("נא להסביר חריגה כאן",I42)))</formula>
    </cfRule>
  </conditionalFormatting>
  <conditionalFormatting sqref="I36:J37">
    <cfRule type="containsText" dxfId="77" priority="15" operator="containsText" text="נא להסביר חריגה כאן">
      <formula>NOT(ISERROR(SEARCH("נא להסביר חריגה כאן",I36)))</formula>
    </cfRule>
  </conditionalFormatting>
  <conditionalFormatting sqref="J13:J24">
    <cfRule type="containsText" dxfId="76" priority="1" operator="containsText" text="נא להסביר חריגה כאן">
      <formula>NOT(ISERROR(SEARCH("נא להסביר חריגה כאן",J13)))</formula>
    </cfRule>
  </conditionalFormatting>
  <conditionalFormatting sqref="J29:J31">
    <cfRule type="containsText" dxfId="75" priority="5" operator="containsText" text="נא להסביר חריגה כאן">
      <formula>NOT(ISERROR(SEARCH("נא להסביר חריגה כאן",J29)))</formula>
    </cfRule>
  </conditionalFormatting>
  <conditionalFormatting sqref="J42">
    <cfRule type="containsText" dxfId="74" priority="4" operator="containsText" text="נא להסביר חריגה כאן">
      <formula>NOT(ISERROR(SEARCH("נא להסביר חריגה כאן",J42)))</formula>
    </cfRule>
  </conditionalFormatting>
  <conditionalFormatting sqref="L13:L24">
    <cfRule type="containsText" dxfId="73" priority="7" operator="containsText" text="נא להסביר חריגה כאן">
      <formula>NOT(ISERROR(SEARCH("נא להסביר חריגה כאן",L13)))</formula>
    </cfRule>
  </conditionalFormatting>
  <conditionalFormatting sqref="L29:L31">
    <cfRule type="containsText" dxfId="72" priority="25" operator="containsText" text="נא להסביר חריגה כאן">
      <formula>NOT(ISERROR(SEARCH("נא להסביר חריגה כאן",L29)))</formula>
    </cfRule>
  </conditionalFormatting>
  <conditionalFormatting sqref="L36:L37">
    <cfRule type="containsText" dxfId="71" priority="9" operator="containsText" text="נא להסביר חריגה כאן">
      <formula>NOT(ISERROR(SEARCH("נא להסביר חריגה כאן",L36)))</formula>
    </cfRule>
  </conditionalFormatting>
  <conditionalFormatting sqref="L42">
    <cfRule type="containsText" dxfId="70" priority="8" operator="containsText" text="נא להסביר חריגה כאן">
      <formula>NOT(ISERROR(SEARCH("נא להסביר חריגה כאן",L42)))</formula>
    </cfRule>
  </conditionalFormatting>
  <conditionalFormatting sqref="R13:S25 S43">
    <cfRule type="cellIs" dxfId="69" priority="35" operator="greaterThan">
      <formula>0</formula>
    </cfRule>
  </conditionalFormatting>
  <conditionalFormatting sqref="R29:S32">
    <cfRule type="cellIs" dxfId="68" priority="24" operator="greaterThan">
      <formula>0</formula>
    </cfRule>
  </conditionalFormatting>
  <conditionalFormatting sqref="R36:S38">
    <cfRule type="cellIs" dxfId="67" priority="22" operator="greaterThan">
      <formula>0</formula>
    </cfRule>
  </conditionalFormatting>
  <conditionalFormatting sqref="R42:S42">
    <cfRule type="cellIs" dxfId="66" priority="20" operator="greaterThan">
      <formula>0</formula>
    </cfRule>
  </conditionalFormatting>
  <conditionalFormatting sqref="R46:T46">
    <cfRule type="cellIs" dxfId="65" priority="6" operator="greaterThan">
      <formula>0</formula>
    </cfRule>
  </conditionalFormatting>
  <pageMargins left="0.70866141732283472" right="0.70866141732283472" top="0.74803149606299213" bottom="0.74803149606299213" header="0.51181102362204722" footer="0.5118110236220472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9"/>
  <sheetViews>
    <sheetView rightToLeft="1" zoomScale="80" zoomScaleNormal="80" workbookViewId="0">
      <selection activeCell="G13" sqref="G13"/>
    </sheetView>
  </sheetViews>
  <sheetFormatPr defaultColWidth="9" defaultRowHeight="13.8" outlineLevelCol="1" x14ac:dyDescent="0.25"/>
  <cols>
    <col min="1" max="1" width="5.6640625" style="93" customWidth="1"/>
    <col min="2" max="2" width="25.77734375" style="93" customWidth="1"/>
    <col min="3" max="3" width="28.44140625" style="93" customWidth="1"/>
    <col min="4" max="4" width="11.88671875" style="93" customWidth="1"/>
    <col min="5" max="5" width="10.5546875" style="93" customWidth="1"/>
    <col min="6" max="6" width="9.44140625" style="93" customWidth="1"/>
    <col min="7" max="7" width="8.88671875" style="93" customWidth="1"/>
    <col min="8" max="8" width="10.6640625" style="93" customWidth="1"/>
    <col min="9" max="9" width="13.21875" style="93" customWidth="1"/>
    <col min="10" max="10" width="22.5546875" style="93" customWidth="1"/>
    <col min="11" max="11" width="2.5546875" style="93" customWidth="1"/>
    <col min="12" max="12" width="13.21875" style="93" hidden="1" customWidth="1" outlineLevel="1"/>
    <col min="13" max="13" width="0" style="93" hidden="1" customWidth="1" outlineLevel="1"/>
    <col min="14" max="14" width="12.5546875" style="93" hidden="1" customWidth="1" outlineLevel="1"/>
    <col min="15" max="16" width="0" style="93" hidden="1" customWidth="1" outlineLevel="1"/>
    <col min="17" max="17" width="12.33203125" style="93" hidden="1" customWidth="1" outlineLevel="1"/>
    <col min="18" max="18" width="14.33203125" style="93" hidden="1" customWidth="1" outlineLevel="1"/>
    <col min="19" max="19" width="14.21875" style="93" hidden="1" customWidth="1" outlineLevel="1"/>
    <col min="20" max="22" width="0" style="93" hidden="1" customWidth="1" outlineLevel="1"/>
    <col min="23" max="23" width="9" style="93" collapsed="1"/>
    <col min="24" max="16384" width="9" style="93"/>
  </cols>
  <sheetData>
    <row r="1" spans="1:22" s="192" customFormat="1" x14ac:dyDescent="0.25">
      <c r="B1" s="345" t="str">
        <f>פתיח!$B$3&amp;": גירסת "&amp;פתיח!$E$4</f>
        <v>תקן ציוד כללי למרכזי יום טיפוליים ולמסגרות מזדקנים לאנשים עם מוגבלות: גירסת 2 בספטמבר 2026</v>
      </c>
      <c r="C1" s="6"/>
    </row>
    <row r="2" spans="1:22" ht="15" customHeight="1" x14ac:dyDescent="0.3">
      <c r="A2" s="3"/>
      <c r="B2" s="94" t="str">
        <f>'שאלון למילוי מגיש הבקשה-חובה'!$C$7</f>
        <v>שם הגוף המבקש:</v>
      </c>
      <c r="C2" s="94"/>
      <c r="D2" s="344">
        <f>'שאלון למילוי מגיש הבקשה-חובה'!$G$7</f>
        <v>0</v>
      </c>
      <c r="E2" s="28"/>
      <c r="F2" s="28"/>
      <c r="G2" s="28"/>
    </row>
    <row r="3" spans="1:22" ht="15" customHeight="1" x14ac:dyDescent="0.3">
      <c r="A3" s="3"/>
      <c r="B3" s="94" t="str">
        <f>'שאלון למילוי מגיש הבקשה-חובה'!$C$18</f>
        <v>שם המסגרת:</v>
      </c>
      <c r="C3" s="94"/>
      <c r="D3" s="344">
        <f>'שאלון למילוי מגיש הבקשה-חובה'!$G$18</f>
        <v>0</v>
      </c>
      <c r="E3" s="28"/>
      <c r="F3" s="28"/>
      <c r="G3" s="28"/>
    </row>
    <row r="4" spans="1:22" ht="15" customHeight="1" x14ac:dyDescent="0.3">
      <c r="A4" s="3"/>
      <c r="B4" s="94" t="str">
        <f>'שאלון למילוי מגיש הבקשה-חובה'!$C$33</f>
        <v>מספר האנשים שעבורם מיועד הפרויקט:</v>
      </c>
      <c r="C4" s="94"/>
      <c r="D4" s="94">
        <f>'שאלון למילוי מגיש הבקשה-חובה'!$G$33</f>
        <v>0</v>
      </c>
      <c r="E4" s="28"/>
      <c r="F4" s="28"/>
      <c r="G4" s="28"/>
    </row>
    <row r="5" spans="1:22" ht="15" customHeight="1" x14ac:dyDescent="0.3">
      <c r="A5" s="3"/>
      <c r="B5" s="94" t="str">
        <f>'שאלון למילוי מגיש הבקשה-חובה'!$C$35</f>
        <v>מספר חדרי פעילות:</v>
      </c>
      <c r="C5" s="94"/>
      <c r="D5" s="94">
        <f>'שאלון למילוי מגיש הבקשה-חובה'!$G$35</f>
        <v>0</v>
      </c>
      <c r="E5" s="28"/>
      <c r="F5" s="28"/>
      <c r="G5" s="28"/>
    </row>
    <row r="6" spans="1:22" ht="15" customHeight="1" x14ac:dyDescent="0.3">
      <c r="A6" s="3"/>
      <c r="B6" s="95" t="s">
        <v>116</v>
      </c>
      <c r="C6" s="95"/>
      <c r="D6" s="94"/>
    </row>
    <row r="7" spans="1:22" x14ac:dyDescent="0.25">
      <c r="A7" s="95"/>
      <c r="B7" s="28" t="str">
        <f>'א-ציוד לחדרי קבוצות'!B7</f>
        <v>כמויות התקן משתנות בהתאם  למספר האנשים במסגרת ומספר חדרי קבוצות.</v>
      </c>
      <c r="C7" s="28"/>
    </row>
    <row r="8" spans="1:22" x14ac:dyDescent="0.25">
      <c r="B8" s="295" t="s">
        <v>238</v>
      </c>
      <c r="C8" s="295"/>
    </row>
    <row r="9" spans="1:22" x14ac:dyDescent="0.25">
      <c r="B9" s="28" t="str">
        <f>'א-ציוד לחדרי קבוצות'!B9</f>
        <v xml:space="preserve">כל  המחירים והעלויות להלן  נקובים  בש"ח  וכוללים  מע"מ  </v>
      </c>
      <c r="C9" s="28"/>
    </row>
    <row r="10" spans="1:22" ht="15" customHeight="1" x14ac:dyDescent="0.3">
      <c r="A10" s="3">
        <v>2</v>
      </c>
      <c r="B10" s="96" t="s">
        <v>274</v>
      </c>
      <c r="C10" s="96"/>
      <c r="D10" s="94"/>
      <c r="E10" s="21"/>
      <c r="F10" s="21"/>
      <c r="G10" s="21"/>
      <c r="H10" s="21"/>
      <c r="J10" s="21"/>
    </row>
    <row r="11" spans="1:22" x14ac:dyDescent="0.25">
      <c r="A11" s="103">
        <v>2.1</v>
      </c>
      <c r="B11" s="34" t="s">
        <v>128</v>
      </c>
      <c r="C11" s="111"/>
      <c r="D11" s="62"/>
      <c r="E11" s="62"/>
      <c r="F11" s="97"/>
      <c r="G11" s="61" t="s">
        <v>129</v>
      </c>
      <c r="H11" s="62"/>
      <c r="I11" s="62"/>
      <c r="J11" s="97"/>
      <c r="L11" s="37" t="s">
        <v>83</v>
      </c>
      <c r="M11" s="38"/>
      <c r="N11" s="38" t="s">
        <v>84</v>
      </c>
      <c r="O11" s="38"/>
      <c r="P11" s="38"/>
      <c r="Q11" s="38"/>
      <c r="R11" s="38"/>
      <c r="S11" s="38"/>
      <c r="T11" s="38"/>
      <c r="U11" s="38"/>
      <c r="V11" s="39"/>
    </row>
    <row r="12" spans="1:22" ht="41.25" customHeight="1" x14ac:dyDescent="0.25">
      <c r="A12" s="98" t="s">
        <v>119</v>
      </c>
      <c r="B12" s="55" t="s">
        <v>86</v>
      </c>
      <c r="C12" s="55" t="s">
        <v>242</v>
      </c>
      <c r="D12" s="55" t="s">
        <v>120</v>
      </c>
      <c r="E12" s="55" t="s">
        <v>121</v>
      </c>
      <c r="F12" s="55" t="s">
        <v>122</v>
      </c>
      <c r="G12" s="55" t="s">
        <v>90</v>
      </c>
      <c r="H12" s="55" t="s">
        <v>123</v>
      </c>
      <c r="I12" s="55" t="s">
        <v>92</v>
      </c>
      <c r="J12" s="55" t="s">
        <v>93</v>
      </c>
      <c r="L12" s="40" t="s">
        <v>94</v>
      </c>
      <c r="M12" s="274" t="s">
        <v>95</v>
      </c>
      <c r="N12" s="91" t="s">
        <v>96</v>
      </c>
      <c r="O12" s="91" t="s">
        <v>97</v>
      </c>
      <c r="P12" s="91" t="s">
        <v>98</v>
      </c>
      <c r="Q12" s="90" t="s">
        <v>99</v>
      </c>
      <c r="R12" s="90" t="s">
        <v>100</v>
      </c>
      <c r="S12" s="91" t="s">
        <v>101</v>
      </c>
      <c r="T12" s="91" t="s">
        <v>102</v>
      </c>
      <c r="U12" s="41" t="s">
        <v>103</v>
      </c>
      <c r="V12" s="42" t="s">
        <v>104</v>
      </c>
    </row>
    <row r="13" spans="1:22" x14ac:dyDescent="0.25">
      <c r="A13" s="99">
        <v>1</v>
      </c>
      <c r="B13" s="290" t="s">
        <v>292</v>
      </c>
      <c r="C13" s="101" t="s">
        <v>293</v>
      </c>
      <c r="D13" s="140">
        <f>IF('שאלון למילוי מגיש הבקשה-חובה'!$G$33&lt;31,1,IF('שאלון למילוי מגיש הבקשה-חובה'!$G$33&lt;61,2,3))</f>
        <v>1</v>
      </c>
      <c r="E13" s="64">
        <v>12000</v>
      </c>
      <c r="F13" s="64">
        <f>D13*E13</f>
        <v>12000</v>
      </c>
      <c r="G13" s="296"/>
      <c r="H13" s="45">
        <f>E13*G13</f>
        <v>0</v>
      </c>
      <c r="I13" s="46" t="str">
        <f>IF(G13&gt;D13,"נא להסביר חריגה","")</f>
        <v/>
      </c>
      <c r="J13" s="297"/>
      <c r="L13" s="320"/>
      <c r="M13" s="47"/>
      <c r="N13" s="48"/>
      <c r="O13" s="49"/>
      <c r="P13" s="50"/>
      <c r="Q13" s="51"/>
      <c r="R13" s="52">
        <f>IF(Q13="",0,Q13-H13)</f>
        <v>0</v>
      </c>
      <c r="S13" s="53">
        <f>IF(H13=0,0,R13/H13)</f>
        <v>0</v>
      </c>
      <c r="T13" s="48"/>
      <c r="U13" s="54"/>
      <c r="V13" s="33"/>
    </row>
    <row r="14" spans="1:22" ht="14.25" customHeight="1" x14ac:dyDescent="0.3">
      <c r="A14" s="99">
        <v>2</v>
      </c>
      <c r="B14" s="290" t="s">
        <v>289</v>
      </c>
      <c r="C14" s="101" t="s">
        <v>288</v>
      </c>
      <c r="D14" s="143">
        <f>'שאלון למילוי מגיש הבקשה-חובה'!$G$35</f>
        <v>0</v>
      </c>
      <c r="E14" s="141">
        <v>1500</v>
      </c>
      <c r="F14" s="64">
        <f>D14*E14</f>
        <v>0</v>
      </c>
      <c r="G14" s="296"/>
      <c r="H14" s="45">
        <f>E14*G14</f>
        <v>0</v>
      </c>
      <c r="I14" s="46" t="str">
        <f>IF(G14&gt;D14,"נא להסביר חריגה","")</f>
        <v/>
      </c>
      <c r="J14" s="297"/>
      <c r="L14" s="320"/>
      <c r="M14" s="47"/>
      <c r="N14" s="48"/>
      <c r="O14" s="49"/>
      <c r="P14" s="50"/>
      <c r="Q14" s="51"/>
      <c r="R14" s="52">
        <f t="shared" ref="R14:R16" si="0">IF(Q14="",0,Q14-H14)</f>
        <v>0</v>
      </c>
      <c r="S14" s="53">
        <f>IF(H14=0,0,R14/H14)</f>
        <v>0</v>
      </c>
      <c r="T14" s="48"/>
      <c r="U14" s="54"/>
      <c r="V14" s="33"/>
    </row>
    <row r="15" spans="1:22" x14ac:dyDescent="0.25">
      <c r="A15" s="99">
        <v>3</v>
      </c>
      <c r="B15" s="322" t="s">
        <v>291</v>
      </c>
      <c r="C15" s="101" t="s">
        <v>278</v>
      </c>
      <c r="D15" s="64">
        <v>1</v>
      </c>
      <c r="E15" s="140">
        <f>IF('שאלון למילוי מגיש הבקשה-חובה'!$G$33&lt;31,25000,IF('שאלון למילוי מגיש הבקשה-חובה'!$G$33&lt;61,30000,40000))</f>
        <v>25000</v>
      </c>
      <c r="F15" s="64">
        <f>D15*E15</f>
        <v>25000</v>
      </c>
      <c r="G15" s="296"/>
      <c r="H15" s="45">
        <f>E15*G15</f>
        <v>0</v>
      </c>
      <c r="I15" s="46" t="str">
        <f>IF(G15&gt;D15,"נא להסביר חריגה","")</f>
        <v/>
      </c>
      <c r="J15" s="297"/>
      <c r="L15" s="320"/>
      <c r="M15" s="47"/>
      <c r="N15" s="48"/>
      <c r="O15" s="49"/>
      <c r="P15" s="50"/>
      <c r="Q15" s="51"/>
      <c r="R15" s="52">
        <f t="shared" si="0"/>
        <v>0</v>
      </c>
      <c r="S15" s="53">
        <f>IF(H15=0,0,R15/H15)</f>
        <v>0</v>
      </c>
      <c r="T15" s="48"/>
      <c r="U15" s="54"/>
      <c r="V15" s="33"/>
    </row>
    <row r="16" spans="1:22" s="192" customFormat="1" x14ac:dyDescent="0.25">
      <c r="A16" s="189"/>
      <c r="B16" s="190" t="s">
        <v>130</v>
      </c>
      <c r="C16" s="190"/>
      <c r="D16" s="174"/>
      <c r="E16" s="174"/>
      <c r="F16" s="174">
        <f>SUM(F13:F15)</f>
        <v>37000</v>
      </c>
      <c r="G16" s="191"/>
      <c r="H16" s="191">
        <f>SUM(H13:H15)</f>
        <v>0</v>
      </c>
      <c r="I16" s="191"/>
      <c r="J16" s="191"/>
      <c r="L16" s="193">
        <f>SUM(L13:L15)</f>
        <v>0</v>
      </c>
      <c r="M16" s="194"/>
      <c r="N16" s="195"/>
      <c r="O16" s="196"/>
      <c r="P16" s="197"/>
      <c r="Q16" s="193">
        <f>SUM(Q13:Q15)</f>
        <v>0</v>
      </c>
      <c r="R16" s="188">
        <f t="shared" si="0"/>
        <v>0</v>
      </c>
      <c r="S16" s="198">
        <f>IF(H16=0,0,R16/H16)</f>
        <v>0</v>
      </c>
      <c r="T16" s="199"/>
      <c r="U16" s="200"/>
      <c r="V16" s="201"/>
    </row>
    <row r="17" spans="1:22" x14ac:dyDescent="0.25">
      <c r="A17" s="60"/>
      <c r="B17" s="65"/>
      <c r="C17" s="65"/>
      <c r="D17" s="66"/>
      <c r="E17" s="66"/>
      <c r="F17" s="66"/>
      <c r="G17" s="66"/>
      <c r="H17" s="66"/>
      <c r="I17" s="66"/>
      <c r="J17" s="66"/>
    </row>
    <row r="18" spans="1:22" x14ac:dyDescent="0.25">
      <c r="A18" s="103">
        <v>2.2000000000000002</v>
      </c>
      <c r="B18" s="34" t="s">
        <v>131</v>
      </c>
      <c r="C18" s="111"/>
      <c r="D18" s="62"/>
      <c r="E18" s="62"/>
      <c r="F18" s="97"/>
      <c r="G18" s="61" t="s">
        <v>132</v>
      </c>
      <c r="H18" s="62"/>
      <c r="I18" s="62"/>
      <c r="J18" s="97"/>
      <c r="L18" s="37" t="s">
        <v>83</v>
      </c>
      <c r="M18" s="38"/>
      <c r="N18" s="38" t="s">
        <v>84</v>
      </c>
      <c r="O18" s="38"/>
      <c r="P18" s="38"/>
      <c r="Q18" s="38"/>
      <c r="R18" s="38"/>
      <c r="S18" s="38"/>
      <c r="T18" s="38"/>
      <c r="U18" s="38"/>
      <c r="V18" s="39"/>
    </row>
    <row r="19" spans="1:22" ht="41.25" customHeight="1" x14ac:dyDescent="0.25">
      <c r="A19" s="98" t="s">
        <v>119</v>
      </c>
      <c r="B19" s="55" t="s">
        <v>86</v>
      </c>
      <c r="C19" s="55" t="s">
        <v>242</v>
      </c>
      <c r="D19" s="55" t="s">
        <v>120</v>
      </c>
      <c r="E19" s="55" t="s">
        <v>121</v>
      </c>
      <c r="F19" s="55" t="s">
        <v>122</v>
      </c>
      <c r="G19" s="55" t="s">
        <v>90</v>
      </c>
      <c r="H19" s="55" t="s">
        <v>123</v>
      </c>
      <c r="I19" s="55" t="s">
        <v>92</v>
      </c>
      <c r="J19" s="55" t="s">
        <v>93</v>
      </c>
      <c r="L19" s="40" t="s">
        <v>94</v>
      </c>
      <c r="M19" s="274" t="s">
        <v>95</v>
      </c>
      <c r="N19" s="91" t="s">
        <v>96</v>
      </c>
      <c r="O19" s="91" t="s">
        <v>97</v>
      </c>
      <c r="P19" s="91" t="s">
        <v>98</v>
      </c>
      <c r="Q19" s="90" t="s">
        <v>99</v>
      </c>
      <c r="R19" s="90" t="s">
        <v>100</v>
      </c>
      <c r="S19" s="91" t="s">
        <v>101</v>
      </c>
      <c r="T19" s="91" t="s">
        <v>102</v>
      </c>
      <c r="U19" s="41" t="s">
        <v>103</v>
      </c>
      <c r="V19" s="42" t="s">
        <v>104</v>
      </c>
    </row>
    <row r="20" spans="1:22" x14ac:dyDescent="0.25">
      <c r="A20" s="99">
        <v>1</v>
      </c>
      <c r="B20" s="315" t="s">
        <v>290</v>
      </c>
      <c r="C20" s="101" t="s">
        <v>278</v>
      </c>
      <c r="D20" s="64">
        <v>1</v>
      </c>
      <c r="E20" s="140">
        <f>IF('שאלון למילוי מגיש הבקשה-חובה'!$G$33&lt;31,25000,IF('שאלון למילוי מגיש הבקשה-חובה'!$G$33&lt;61,50000,70000))</f>
        <v>25000</v>
      </c>
      <c r="F20" s="64">
        <f>D20*E20</f>
        <v>25000</v>
      </c>
      <c r="G20" s="296"/>
      <c r="H20" s="45">
        <f>E20*G20</f>
        <v>0</v>
      </c>
      <c r="I20" s="46" t="str">
        <f>IF(G20&gt;D20,"נא להסביר חריגה","")</f>
        <v/>
      </c>
      <c r="J20" s="297"/>
      <c r="L20" s="320"/>
      <c r="M20" s="47"/>
      <c r="N20" s="48"/>
      <c r="O20" s="49"/>
      <c r="P20" s="50"/>
      <c r="Q20" s="51"/>
      <c r="R20" s="52">
        <f>IF(Q20="",0,Q20-H20)</f>
        <v>0</v>
      </c>
      <c r="S20" s="53">
        <f>IF(H20=0,0,R20/H20)</f>
        <v>0</v>
      </c>
      <c r="T20" s="48"/>
      <c r="U20" s="54"/>
      <c r="V20" s="33"/>
    </row>
    <row r="21" spans="1:22" x14ac:dyDescent="0.25">
      <c r="A21" s="60"/>
      <c r="B21" s="65"/>
      <c r="C21" s="65"/>
      <c r="D21" s="66"/>
      <c r="E21" s="66"/>
      <c r="F21" s="66"/>
      <c r="G21" s="66"/>
      <c r="H21" s="66"/>
      <c r="I21" s="66"/>
      <c r="J21" s="66"/>
    </row>
    <row r="22" spans="1:22" x14ac:dyDescent="0.25">
      <c r="A22" s="103">
        <v>2.2999999999999998</v>
      </c>
      <c r="B22" s="34" t="s">
        <v>133</v>
      </c>
      <c r="C22" s="111"/>
      <c r="D22" s="62"/>
      <c r="E22" s="62"/>
      <c r="F22" s="97"/>
      <c r="G22" s="61" t="s">
        <v>134</v>
      </c>
      <c r="H22" s="62"/>
      <c r="I22" s="62"/>
      <c r="J22" s="97"/>
      <c r="L22" s="37" t="s">
        <v>83</v>
      </c>
      <c r="M22" s="38"/>
      <c r="N22" s="38" t="s">
        <v>84</v>
      </c>
      <c r="O22" s="38"/>
      <c r="P22" s="38"/>
      <c r="Q22" s="38"/>
      <c r="R22" s="38"/>
      <c r="S22" s="38"/>
      <c r="T22" s="38"/>
      <c r="U22" s="38"/>
      <c r="V22" s="39"/>
    </row>
    <row r="23" spans="1:22" ht="41.25" customHeight="1" x14ac:dyDescent="0.25">
      <c r="A23" s="98" t="s">
        <v>119</v>
      </c>
      <c r="B23" s="55" t="s">
        <v>86</v>
      </c>
      <c r="C23" s="55" t="s">
        <v>242</v>
      </c>
      <c r="D23" s="55" t="s">
        <v>120</v>
      </c>
      <c r="E23" s="55" t="s">
        <v>121</v>
      </c>
      <c r="F23" s="55" t="s">
        <v>122</v>
      </c>
      <c r="G23" s="55" t="s">
        <v>90</v>
      </c>
      <c r="H23" s="55" t="s">
        <v>123</v>
      </c>
      <c r="I23" s="55" t="s">
        <v>92</v>
      </c>
      <c r="J23" s="55" t="s">
        <v>93</v>
      </c>
      <c r="L23" s="40" t="s">
        <v>94</v>
      </c>
      <c r="M23" s="274" t="s">
        <v>95</v>
      </c>
      <c r="N23" s="91" t="s">
        <v>96</v>
      </c>
      <c r="O23" s="91" t="s">
        <v>97</v>
      </c>
      <c r="P23" s="91" t="s">
        <v>98</v>
      </c>
      <c r="Q23" s="90" t="s">
        <v>99</v>
      </c>
      <c r="R23" s="90" t="s">
        <v>100</v>
      </c>
      <c r="S23" s="91" t="s">
        <v>101</v>
      </c>
      <c r="T23" s="91" t="s">
        <v>102</v>
      </c>
      <c r="U23" s="41" t="s">
        <v>103</v>
      </c>
      <c r="V23" s="42" t="s">
        <v>104</v>
      </c>
    </row>
    <row r="24" spans="1:22" x14ac:dyDescent="0.25">
      <c r="A24" s="99">
        <v>1</v>
      </c>
      <c r="B24" s="290" t="s">
        <v>135</v>
      </c>
      <c r="C24" s="101" t="s">
        <v>278</v>
      </c>
      <c r="D24" s="64">
        <v>1</v>
      </c>
      <c r="E24" s="140">
        <f>IF('שאלון למילוי מגיש הבקשה-חובה'!$G$33&lt;31,8000,IF('שאלון למילוי מגיש הבקשה-חובה'!$G$33&lt;61,12000,15000))</f>
        <v>8000</v>
      </c>
      <c r="F24" s="64">
        <f>D24*E24</f>
        <v>8000</v>
      </c>
      <c r="G24" s="296"/>
      <c r="H24" s="45">
        <f>E24*G24</f>
        <v>0</v>
      </c>
      <c r="I24" s="46" t="str">
        <f>IF(G24&gt;D24,"נא להסביר חריגה","")</f>
        <v/>
      </c>
      <c r="J24" s="297"/>
      <c r="L24" s="320"/>
      <c r="M24" s="47"/>
      <c r="N24" s="48"/>
      <c r="O24" s="49"/>
      <c r="P24" s="50"/>
      <c r="Q24" s="51"/>
      <c r="R24" s="52">
        <f>IF(Q24="",0,Q24-H24)</f>
        <v>0</v>
      </c>
      <c r="S24" s="53">
        <f>IF(H24=0,0,R24/H24)</f>
        <v>0</v>
      </c>
      <c r="T24" s="48"/>
      <c r="U24" s="54"/>
      <c r="V24" s="33"/>
    </row>
    <row r="25" spans="1:22" x14ac:dyDescent="0.25">
      <c r="A25" s="99">
        <v>2</v>
      </c>
      <c r="B25" s="315" t="s">
        <v>260</v>
      </c>
      <c r="C25" s="101" t="s">
        <v>278</v>
      </c>
      <c r="D25" s="140">
        <f>IF('שאלון למילוי מגיש הבקשה-חובה'!$G$33&lt;31,1,IF('שאלון למילוי מגיש הבקשה-חובה'!$G$33&lt;61,2,3))</f>
        <v>1</v>
      </c>
      <c r="E25" s="64">
        <v>5000</v>
      </c>
      <c r="F25" s="64">
        <f>D25*E25</f>
        <v>5000</v>
      </c>
      <c r="G25" s="296"/>
      <c r="H25" s="45">
        <f>E25*G25</f>
        <v>0</v>
      </c>
      <c r="I25" s="46" t="str">
        <f>IF(G25&gt;D25,"נא להסביר חריגה","")</f>
        <v/>
      </c>
      <c r="J25" s="297"/>
      <c r="L25" s="320"/>
      <c r="M25" s="47"/>
      <c r="N25" s="48"/>
      <c r="O25" s="49"/>
      <c r="P25" s="50"/>
      <c r="Q25" s="51"/>
      <c r="R25" s="52">
        <f t="shared" ref="R25:R27" si="1">IF(Q25="",0,Q25-H25)</f>
        <v>0</v>
      </c>
      <c r="S25" s="53">
        <f>IF(H25=0,0,R25/H25)</f>
        <v>0</v>
      </c>
      <c r="T25" s="48"/>
      <c r="U25" s="54"/>
      <c r="V25" s="33"/>
    </row>
    <row r="26" spans="1:22" x14ac:dyDescent="0.25">
      <c r="A26" s="99">
        <v>3</v>
      </c>
      <c r="B26" s="290" t="s">
        <v>279</v>
      </c>
      <c r="C26" s="101" t="s">
        <v>278</v>
      </c>
      <c r="D26" s="64">
        <v>1</v>
      </c>
      <c r="E26" s="140">
        <f>IF('שאלון למילוי מגיש הבקשה-חובה'!$G$33&lt;31,7000,IF('שאלון למילוי מגיש הבקשה-חובה'!$G$33&lt;61,10000,15000))</f>
        <v>7000</v>
      </c>
      <c r="F26" s="64">
        <f>D26*E26</f>
        <v>7000</v>
      </c>
      <c r="G26" s="296"/>
      <c r="H26" s="45">
        <f>E26*G26</f>
        <v>0</v>
      </c>
      <c r="I26" s="46" t="str">
        <f>IF(G26&gt;D26,"נא להסביר חריגה","")</f>
        <v/>
      </c>
      <c r="J26" s="297"/>
      <c r="L26" s="320"/>
      <c r="M26" s="47"/>
      <c r="N26" s="48"/>
      <c r="O26" s="49"/>
      <c r="P26" s="50"/>
      <c r="Q26" s="51"/>
      <c r="R26" s="52">
        <f t="shared" si="1"/>
        <v>0</v>
      </c>
      <c r="S26" s="53">
        <f>IF(H26=0,0,R26/H26)</f>
        <v>0</v>
      </c>
      <c r="T26" s="48"/>
      <c r="U26" s="54"/>
      <c r="V26" s="33"/>
    </row>
    <row r="27" spans="1:22" s="192" customFormat="1" x14ac:dyDescent="0.25">
      <c r="A27" s="189"/>
      <c r="B27" s="190" t="s">
        <v>136</v>
      </c>
      <c r="C27" s="190"/>
      <c r="D27" s="174"/>
      <c r="E27" s="174"/>
      <c r="F27" s="174">
        <f>SUM(F24:F26)</f>
        <v>20000</v>
      </c>
      <c r="G27" s="191"/>
      <c r="H27" s="191">
        <f>SUM(H24:H26)</f>
        <v>0</v>
      </c>
      <c r="I27" s="191"/>
      <c r="J27" s="191"/>
      <c r="L27" s="193">
        <f>SUM(L24:L26)</f>
        <v>0</v>
      </c>
      <c r="M27" s="194"/>
      <c r="N27" s="195"/>
      <c r="O27" s="196"/>
      <c r="P27" s="197"/>
      <c r="Q27" s="193">
        <f>SUM(Q24:Q26)</f>
        <v>0</v>
      </c>
      <c r="R27" s="188">
        <f t="shared" si="1"/>
        <v>0</v>
      </c>
      <c r="S27" s="198">
        <f>IF(H27=0,0,R27/H27)</f>
        <v>0</v>
      </c>
      <c r="T27" s="199"/>
      <c r="U27" s="200"/>
      <c r="V27" s="201"/>
    </row>
    <row r="28" spans="1:22" x14ac:dyDescent="0.25">
      <c r="A28" s="60"/>
      <c r="B28" s="65"/>
      <c r="C28" s="65"/>
      <c r="D28" s="66"/>
      <c r="E28" s="66"/>
      <c r="F28" s="66"/>
      <c r="G28" s="66"/>
      <c r="H28" s="66"/>
      <c r="I28" s="66"/>
      <c r="J28" s="66"/>
    </row>
    <row r="29" spans="1:22" ht="27" customHeight="1" x14ac:dyDescent="0.25">
      <c r="A29" s="103">
        <v>2.4</v>
      </c>
      <c r="B29" s="34" t="s">
        <v>137</v>
      </c>
      <c r="C29" s="111"/>
      <c r="D29" s="62"/>
      <c r="E29" s="62"/>
      <c r="F29" s="97"/>
      <c r="G29" s="61" t="s">
        <v>138</v>
      </c>
      <c r="H29" s="62"/>
      <c r="I29" s="62"/>
      <c r="J29" s="97"/>
      <c r="L29" s="37" t="s">
        <v>83</v>
      </c>
      <c r="M29" s="38"/>
      <c r="N29" s="38" t="s">
        <v>84</v>
      </c>
      <c r="O29" s="38"/>
      <c r="P29" s="38"/>
      <c r="Q29" s="38"/>
      <c r="R29" s="38"/>
      <c r="S29" s="38"/>
      <c r="T29" s="38"/>
      <c r="U29" s="38"/>
      <c r="V29" s="39"/>
    </row>
    <row r="30" spans="1:22" ht="69" x14ac:dyDescent="0.25">
      <c r="A30" s="98" t="s">
        <v>119</v>
      </c>
      <c r="B30" s="55" t="s">
        <v>86</v>
      </c>
      <c r="C30" s="55" t="s">
        <v>242</v>
      </c>
      <c r="D30" s="55" t="s">
        <v>120</v>
      </c>
      <c r="E30" s="55" t="s">
        <v>121</v>
      </c>
      <c r="F30" s="55" t="s">
        <v>122</v>
      </c>
      <c r="G30" s="55" t="s">
        <v>90</v>
      </c>
      <c r="H30" s="55" t="s">
        <v>123</v>
      </c>
      <c r="I30" s="55" t="s">
        <v>92</v>
      </c>
      <c r="J30" s="55" t="s">
        <v>93</v>
      </c>
      <c r="L30" s="40" t="s">
        <v>94</v>
      </c>
      <c r="M30" s="274" t="s">
        <v>95</v>
      </c>
      <c r="N30" s="91" t="s">
        <v>96</v>
      </c>
      <c r="O30" s="91" t="s">
        <v>97</v>
      </c>
      <c r="P30" s="91" t="s">
        <v>98</v>
      </c>
      <c r="Q30" s="90" t="s">
        <v>99</v>
      </c>
      <c r="R30" s="90" t="s">
        <v>100</v>
      </c>
      <c r="S30" s="91" t="s">
        <v>101</v>
      </c>
      <c r="T30" s="91" t="s">
        <v>102</v>
      </c>
      <c r="U30" s="41" t="s">
        <v>103</v>
      </c>
      <c r="V30" s="42" t="s">
        <v>104</v>
      </c>
    </row>
    <row r="31" spans="1:22" x14ac:dyDescent="0.25">
      <c r="A31" s="99">
        <v>1</v>
      </c>
      <c r="B31" s="315" t="s">
        <v>280</v>
      </c>
      <c r="C31" s="101" t="s">
        <v>278</v>
      </c>
      <c r="D31" s="64">
        <v>1</v>
      </c>
      <c r="E31" s="140">
        <f>IF('שאלון למילוי מגיש הבקשה-חובה'!$G$33&lt;31,18000,IF('שאלון למילוי מגיש הבקשה-חובה'!$G$33&lt;61,22000,30000))</f>
        <v>18000</v>
      </c>
      <c r="F31" s="64">
        <f t="shared" ref="F31:F37" si="2">D31*E31</f>
        <v>18000</v>
      </c>
      <c r="G31" s="296"/>
      <c r="H31" s="45">
        <f t="shared" ref="H31:H37" si="3">E31*G31</f>
        <v>0</v>
      </c>
      <c r="I31" s="46" t="str">
        <f t="shared" ref="I31:I37" si="4">IF(G31&gt;D31,"נא להסביר חריגה","")</f>
        <v/>
      </c>
      <c r="J31" s="297"/>
      <c r="L31" s="320"/>
      <c r="M31" s="47"/>
      <c r="N31" s="48"/>
      <c r="O31" s="49"/>
      <c r="P31" s="50"/>
      <c r="Q31" s="51"/>
      <c r="R31" s="52">
        <f t="shared" ref="R31:R38" si="5">IF(Q31="",0,Q31-H31)</f>
        <v>0</v>
      </c>
      <c r="S31" s="53">
        <f t="shared" ref="S31:S38" si="6">IF(H31=0,0,R31/H31)</f>
        <v>0</v>
      </c>
      <c r="T31" s="48"/>
      <c r="U31" s="54"/>
      <c r="V31" s="33"/>
    </row>
    <row r="32" spans="1:22" x14ac:dyDescent="0.25">
      <c r="A32" s="99">
        <v>2</v>
      </c>
      <c r="B32" s="290" t="s">
        <v>139</v>
      </c>
      <c r="C32" s="55"/>
      <c r="D32" s="64">
        <v>1</v>
      </c>
      <c r="E32" s="64">
        <v>5000</v>
      </c>
      <c r="F32" s="64">
        <f t="shared" si="2"/>
        <v>5000</v>
      </c>
      <c r="G32" s="296"/>
      <c r="H32" s="45">
        <f t="shared" si="3"/>
        <v>0</v>
      </c>
      <c r="I32" s="46" t="str">
        <f t="shared" si="4"/>
        <v/>
      </c>
      <c r="J32" s="297"/>
      <c r="L32" s="320"/>
      <c r="M32" s="47"/>
      <c r="N32" s="48"/>
      <c r="O32" s="49"/>
      <c r="P32" s="50"/>
      <c r="Q32" s="51"/>
      <c r="R32" s="52">
        <f t="shared" si="5"/>
        <v>0</v>
      </c>
      <c r="S32" s="53">
        <f t="shared" si="6"/>
        <v>0</v>
      </c>
      <c r="T32" s="48"/>
      <c r="U32" s="54"/>
      <c r="V32" s="33"/>
    </row>
    <row r="33" spans="1:22" x14ac:dyDescent="0.25">
      <c r="A33" s="99">
        <v>3</v>
      </c>
      <c r="B33" s="290" t="s">
        <v>284</v>
      </c>
      <c r="C33" s="55"/>
      <c r="D33" s="64">
        <v>1</v>
      </c>
      <c r="E33" s="64">
        <v>5000</v>
      </c>
      <c r="F33" s="64">
        <f t="shared" si="2"/>
        <v>5000</v>
      </c>
      <c r="G33" s="296"/>
      <c r="H33" s="45">
        <f t="shared" si="3"/>
        <v>0</v>
      </c>
      <c r="I33" s="46" t="str">
        <f t="shared" si="4"/>
        <v/>
      </c>
      <c r="J33" s="297"/>
      <c r="L33" s="320"/>
      <c r="M33" s="47"/>
      <c r="N33" s="48"/>
      <c r="O33" s="49"/>
      <c r="P33" s="50"/>
      <c r="Q33" s="51"/>
      <c r="R33" s="52">
        <f t="shared" si="5"/>
        <v>0</v>
      </c>
      <c r="S33" s="53">
        <f t="shared" si="6"/>
        <v>0</v>
      </c>
      <c r="T33" s="48"/>
      <c r="U33" s="54"/>
      <c r="V33" s="33"/>
    </row>
    <row r="34" spans="1:22" x14ac:dyDescent="0.25">
      <c r="A34" s="99">
        <v>4</v>
      </c>
      <c r="B34" s="290" t="s">
        <v>285</v>
      </c>
      <c r="C34" s="55"/>
      <c r="D34" s="64">
        <v>1</v>
      </c>
      <c r="E34" s="64">
        <v>5000</v>
      </c>
      <c r="F34" s="64">
        <f t="shared" si="2"/>
        <v>5000</v>
      </c>
      <c r="G34" s="296"/>
      <c r="H34" s="45">
        <f t="shared" si="3"/>
        <v>0</v>
      </c>
      <c r="I34" s="46" t="str">
        <f t="shared" si="4"/>
        <v/>
      </c>
      <c r="J34" s="297"/>
      <c r="L34" s="320"/>
      <c r="M34" s="47"/>
      <c r="N34" s="48"/>
      <c r="O34" s="49"/>
      <c r="P34" s="50"/>
      <c r="Q34" s="51"/>
      <c r="R34" s="52">
        <f t="shared" si="5"/>
        <v>0</v>
      </c>
      <c r="S34" s="53">
        <f t="shared" si="6"/>
        <v>0</v>
      </c>
      <c r="T34" s="48"/>
      <c r="U34" s="54"/>
      <c r="V34" s="33"/>
    </row>
    <row r="35" spans="1:22" x14ac:dyDescent="0.25">
      <c r="A35" s="99">
        <v>5</v>
      </c>
      <c r="B35" s="290" t="s">
        <v>140</v>
      </c>
      <c r="C35" s="101" t="s">
        <v>278</v>
      </c>
      <c r="D35" s="140">
        <f>IF('שאלון למילוי מגיש הבקשה-חובה'!$G$33&lt;31,1,IF('שאלון למילוי מגיש הבקשה-חובה'!$G$33&lt;61,2,3))</f>
        <v>1</v>
      </c>
      <c r="E35" s="64">
        <v>1500</v>
      </c>
      <c r="F35" s="64">
        <f t="shared" si="2"/>
        <v>1500</v>
      </c>
      <c r="G35" s="296"/>
      <c r="H35" s="45">
        <f t="shared" si="3"/>
        <v>0</v>
      </c>
      <c r="I35" s="46" t="str">
        <f t="shared" si="4"/>
        <v/>
      </c>
      <c r="J35" s="297"/>
      <c r="L35" s="320"/>
      <c r="M35" s="47"/>
      <c r="N35" s="48"/>
      <c r="O35" s="49"/>
      <c r="P35" s="50"/>
      <c r="Q35" s="51"/>
      <c r="R35" s="52">
        <f t="shared" si="5"/>
        <v>0</v>
      </c>
      <c r="S35" s="53">
        <f t="shared" si="6"/>
        <v>0</v>
      </c>
      <c r="T35" s="48"/>
      <c r="U35" s="54"/>
      <c r="V35" s="33"/>
    </row>
    <row r="36" spans="1:22" x14ac:dyDescent="0.25">
      <c r="A36" s="99">
        <v>6</v>
      </c>
      <c r="B36" s="290" t="s">
        <v>286</v>
      </c>
      <c r="C36" s="101" t="s">
        <v>278</v>
      </c>
      <c r="D36" s="64">
        <v>1</v>
      </c>
      <c r="E36" s="140">
        <f>IF('שאלון למילוי מגיש הבקשה-חובה'!$G$33&lt;31,2500,4000)</f>
        <v>2500</v>
      </c>
      <c r="F36" s="64">
        <f t="shared" si="2"/>
        <v>2500</v>
      </c>
      <c r="G36" s="296"/>
      <c r="H36" s="45">
        <f t="shared" si="3"/>
        <v>0</v>
      </c>
      <c r="I36" s="46" t="str">
        <f t="shared" si="4"/>
        <v/>
      </c>
      <c r="J36" s="297"/>
      <c r="L36" s="320"/>
      <c r="M36" s="47"/>
      <c r="N36" s="48"/>
      <c r="O36" s="49"/>
      <c r="P36" s="50"/>
      <c r="Q36" s="51"/>
      <c r="R36" s="52">
        <f t="shared" si="5"/>
        <v>0</v>
      </c>
      <c r="S36" s="53">
        <f t="shared" si="6"/>
        <v>0</v>
      </c>
      <c r="T36" s="48"/>
      <c r="U36" s="54"/>
      <c r="V36" s="33"/>
    </row>
    <row r="37" spans="1:22" x14ac:dyDescent="0.25">
      <c r="A37" s="99">
        <v>7</v>
      </c>
      <c r="B37" s="290" t="s">
        <v>287</v>
      </c>
      <c r="C37" s="101" t="s">
        <v>278</v>
      </c>
      <c r="D37" s="64">
        <v>1</v>
      </c>
      <c r="E37" s="140">
        <f>IF('שאלון למילוי מגיש הבקשה-חובה'!$G$33&lt;31,3000,6000)</f>
        <v>3000</v>
      </c>
      <c r="F37" s="64">
        <f t="shared" si="2"/>
        <v>3000</v>
      </c>
      <c r="G37" s="296"/>
      <c r="H37" s="45">
        <f t="shared" si="3"/>
        <v>0</v>
      </c>
      <c r="I37" s="46" t="str">
        <f t="shared" si="4"/>
        <v/>
      </c>
      <c r="J37" s="297"/>
      <c r="L37" s="320"/>
      <c r="M37" s="47"/>
      <c r="N37" s="48"/>
      <c r="O37" s="49"/>
      <c r="P37" s="50"/>
      <c r="Q37" s="51"/>
      <c r="R37" s="52">
        <f t="shared" si="5"/>
        <v>0</v>
      </c>
      <c r="S37" s="53">
        <f t="shared" si="6"/>
        <v>0</v>
      </c>
      <c r="T37" s="48"/>
      <c r="U37" s="54"/>
      <c r="V37" s="33"/>
    </row>
    <row r="38" spans="1:22" s="192" customFormat="1" x14ac:dyDescent="0.25">
      <c r="A38" s="189"/>
      <c r="B38" s="190" t="s">
        <v>141</v>
      </c>
      <c r="C38" s="190"/>
      <c r="D38" s="174"/>
      <c r="E38" s="174"/>
      <c r="F38" s="174">
        <f>SUM(F31:F37)</f>
        <v>40000</v>
      </c>
      <c r="G38" s="191"/>
      <c r="H38" s="191">
        <f>SUM(H31:H37)</f>
        <v>0</v>
      </c>
      <c r="I38" s="191"/>
      <c r="J38" s="191"/>
      <c r="L38" s="193">
        <f>SUM(L31:L37)</f>
        <v>0</v>
      </c>
      <c r="M38" s="194"/>
      <c r="N38" s="195"/>
      <c r="O38" s="196"/>
      <c r="P38" s="197"/>
      <c r="Q38" s="193">
        <f>SUM(Q31:Q37)</f>
        <v>0</v>
      </c>
      <c r="R38" s="188">
        <f t="shared" si="5"/>
        <v>0</v>
      </c>
      <c r="S38" s="198">
        <f t="shared" si="6"/>
        <v>0</v>
      </c>
      <c r="T38" s="199"/>
      <c r="U38" s="200"/>
      <c r="V38" s="201"/>
    </row>
    <row r="39" spans="1:22" x14ac:dyDescent="0.25">
      <c r="A39" s="60"/>
      <c r="B39" s="65"/>
      <c r="C39" s="65"/>
      <c r="D39" s="66"/>
      <c r="E39" s="66"/>
      <c r="F39" s="66"/>
      <c r="G39" s="66"/>
      <c r="H39" s="66"/>
      <c r="I39" s="66"/>
      <c r="J39" s="66"/>
    </row>
    <row r="40" spans="1:22" ht="27" customHeight="1" x14ac:dyDescent="0.25">
      <c r="A40" s="103">
        <v>2.5</v>
      </c>
      <c r="B40" s="34" t="s">
        <v>142</v>
      </c>
      <c r="C40" s="111"/>
      <c r="D40" s="62"/>
      <c r="E40" s="62"/>
      <c r="F40" s="97"/>
      <c r="G40" s="61" t="s">
        <v>143</v>
      </c>
      <c r="H40" s="62"/>
      <c r="I40" s="62"/>
      <c r="J40" s="97"/>
      <c r="L40" s="37" t="s">
        <v>83</v>
      </c>
      <c r="M40" s="38"/>
      <c r="N40" s="38" t="s">
        <v>84</v>
      </c>
      <c r="O40" s="38"/>
      <c r="P40" s="38"/>
      <c r="Q40" s="38"/>
      <c r="R40" s="38"/>
      <c r="S40" s="38"/>
      <c r="T40" s="38"/>
      <c r="U40" s="38"/>
      <c r="V40" s="39"/>
    </row>
    <row r="41" spans="1:22" ht="41.25" customHeight="1" x14ac:dyDescent="0.25">
      <c r="A41" s="98" t="s">
        <v>119</v>
      </c>
      <c r="B41" s="55" t="s">
        <v>86</v>
      </c>
      <c r="C41" s="55" t="s">
        <v>242</v>
      </c>
      <c r="D41" s="55" t="s">
        <v>120</v>
      </c>
      <c r="E41" s="55" t="s">
        <v>121</v>
      </c>
      <c r="F41" s="55" t="s">
        <v>122</v>
      </c>
      <c r="G41" s="55" t="s">
        <v>90</v>
      </c>
      <c r="H41" s="55" t="s">
        <v>123</v>
      </c>
      <c r="I41" s="55" t="s">
        <v>92</v>
      </c>
      <c r="J41" s="55" t="s">
        <v>93</v>
      </c>
      <c r="L41" s="40" t="s">
        <v>94</v>
      </c>
      <c r="M41" s="274" t="s">
        <v>95</v>
      </c>
      <c r="N41" s="91" t="s">
        <v>96</v>
      </c>
      <c r="O41" s="91" t="s">
        <v>97</v>
      </c>
      <c r="P41" s="91" t="s">
        <v>98</v>
      </c>
      <c r="Q41" s="90" t="s">
        <v>99</v>
      </c>
      <c r="R41" s="90" t="s">
        <v>100</v>
      </c>
      <c r="S41" s="91" t="s">
        <v>101</v>
      </c>
      <c r="T41" s="91" t="s">
        <v>102</v>
      </c>
      <c r="U41" s="41" t="s">
        <v>103</v>
      </c>
      <c r="V41" s="42" t="s">
        <v>104</v>
      </c>
    </row>
    <row r="42" spans="1:22" ht="55.8" x14ac:dyDescent="0.3">
      <c r="A42" s="99">
        <v>1</v>
      </c>
      <c r="B42" s="290" t="s">
        <v>319</v>
      </c>
      <c r="C42" s="55" t="s">
        <v>320</v>
      </c>
      <c r="D42" s="64">
        <v>1</v>
      </c>
      <c r="E42" s="143">
        <f>10000+'שאלון למילוי מגיש הבקשה-חובה'!$G$35*1500*3</f>
        <v>10000</v>
      </c>
      <c r="F42" s="64">
        <f>D42*E42</f>
        <v>10000</v>
      </c>
      <c r="G42" s="296"/>
      <c r="H42" s="45">
        <f>E42*G42</f>
        <v>0</v>
      </c>
      <c r="I42" s="46" t="str">
        <f>IF(G42&gt;D42,"נא להסביר חריגה","")</f>
        <v/>
      </c>
      <c r="J42" s="297"/>
      <c r="L42" s="320"/>
      <c r="M42" s="256"/>
      <c r="N42" s="48"/>
      <c r="O42" s="49"/>
      <c r="P42" s="50"/>
      <c r="Q42" s="51"/>
      <c r="R42" s="52">
        <f>IF(Q42="",0,Q42-H42)</f>
        <v>0</v>
      </c>
      <c r="S42" s="53">
        <f>IF(H42=0,0,R42/H42)</f>
        <v>0</v>
      </c>
      <c r="T42" s="48"/>
      <c r="U42" s="54"/>
      <c r="V42" s="33"/>
    </row>
    <row r="43" spans="1:22" ht="55.8" x14ac:dyDescent="0.3">
      <c r="A43" s="99">
        <v>2</v>
      </c>
      <c r="B43" s="290" t="s">
        <v>281</v>
      </c>
      <c r="C43" s="55" t="s">
        <v>315</v>
      </c>
      <c r="D43" s="64">
        <v>1</v>
      </c>
      <c r="E43" s="143">
        <f>5000+'שאלון למילוי מגיש הבקשה-חובה'!$G$35*1000*1.5</f>
        <v>5000</v>
      </c>
      <c r="F43" s="64">
        <f>D43*E43</f>
        <v>5000</v>
      </c>
      <c r="G43" s="296"/>
      <c r="H43" s="45">
        <f>E43*G43</f>
        <v>0</v>
      </c>
      <c r="I43" s="46" t="str">
        <f>IF(G43&gt;D43,"נא להסביר חריגה","")</f>
        <v/>
      </c>
      <c r="J43" s="297"/>
      <c r="L43" s="320"/>
      <c r="M43" s="47"/>
      <c r="N43" s="48"/>
      <c r="O43" s="49"/>
      <c r="P43" s="50"/>
      <c r="Q43" s="51"/>
      <c r="R43" s="52">
        <f t="shared" ref="R43:R44" si="7">IF(Q43="",0,Q43-H43)</f>
        <v>0</v>
      </c>
      <c r="S43" s="53">
        <f>IF(H43=0,0,R43/H43)</f>
        <v>0</v>
      </c>
      <c r="T43" s="48"/>
      <c r="U43" s="54"/>
      <c r="V43" s="33"/>
    </row>
    <row r="44" spans="1:22" s="192" customFormat="1" x14ac:dyDescent="0.25">
      <c r="A44" s="189"/>
      <c r="B44" s="190" t="s">
        <v>144</v>
      </c>
      <c r="C44" s="190"/>
      <c r="D44" s="174"/>
      <c r="E44" s="174"/>
      <c r="F44" s="174">
        <f>SUM(F42:F43)</f>
        <v>15000</v>
      </c>
      <c r="G44" s="191"/>
      <c r="H44" s="191">
        <f>SUM(H42:H43)</f>
        <v>0</v>
      </c>
      <c r="I44" s="191"/>
      <c r="J44" s="191"/>
      <c r="L44" s="193">
        <f>SUM(L42:L43)</f>
        <v>0</v>
      </c>
      <c r="M44" s="194"/>
      <c r="N44" s="195"/>
      <c r="O44" s="196"/>
      <c r="P44" s="197"/>
      <c r="Q44" s="193">
        <f>SUM(Q42:Q43)</f>
        <v>0</v>
      </c>
      <c r="R44" s="188">
        <f t="shared" si="7"/>
        <v>0</v>
      </c>
      <c r="S44" s="198">
        <f>IF(H44=0,0,R44/H44)</f>
        <v>0</v>
      </c>
      <c r="T44" s="199"/>
      <c r="U44" s="200"/>
      <c r="V44" s="201"/>
    </row>
    <row r="45" spans="1:22" x14ac:dyDescent="0.25">
      <c r="A45" s="60"/>
      <c r="B45" s="65"/>
      <c r="C45" s="65"/>
      <c r="D45" s="66"/>
      <c r="E45" s="66"/>
      <c r="F45" s="66"/>
      <c r="G45" s="66"/>
      <c r="H45" s="66"/>
      <c r="I45" s="66"/>
      <c r="J45" s="66"/>
    </row>
    <row r="46" spans="1:22" ht="27" customHeight="1" x14ac:dyDescent="0.25">
      <c r="A46" s="103">
        <v>2.6</v>
      </c>
      <c r="B46" s="34" t="s">
        <v>145</v>
      </c>
      <c r="C46" s="111"/>
      <c r="D46" s="62"/>
      <c r="E46" s="62"/>
      <c r="F46" s="97"/>
      <c r="G46" s="61" t="s">
        <v>146</v>
      </c>
      <c r="H46" s="62"/>
      <c r="I46" s="62"/>
      <c r="J46" s="97"/>
      <c r="L46" s="37" t="s">
        <v>83</v>
      </c>
      <c r="M46" s="38"/>
      <c r="N46" s="38" t="s">
        <v>84</v>
      </c>
      <c r="O46" s="38"/>
      <c r="P46" s="38"/>
      <c r="Q46" s="38"/>
      <c r="R46" s="38"/>
      <c r="S46" s="38"/>
      <c r="T46" s="38"/>
      <c r="U46" s="38"/>
      <c r="V46" s="39"/>
    </row>
    <row r="47" spans="1:22" ht="41.25" customHeight="1" x14ac:dyDescent="0.25">
      <c r="A47" s="275" t="s">
        <v>119</v>
      </c>
      <c r="B47" s="55" t="s">
        <v>86</v>
      </c>
      <c r="C47" s="55" t="s">
        <v>242</v>
      </c>
      <c r="D47" s="55" t="s">
        <v>120</v>
      </c>
      <c r="E47" s="55" t="s">
        <v>121</v>
      </c>
      <c r="F47" s="55" t="s">
        <v>122</v>
      </c>
      <c r="G47" s="55" t="s">
        <v>90</v>
      </c>
      <c r="H47" s="55" t="s">
        <v>123</v>
      </c>
      <c r="I47" s="55" t="s">
        <v>92</v>
      </c>
      <c r="J47" s="55" t="s">
        <v>93</v>
      </c>
      <c r="L47" s="40" t="s">
        <v>94</v>
      </c>
      <c r="M47" s="274" t="s">
        <v>95</v>
      </c>
      <c r="N47" s="91" t="s">
        <v>96</v>
      </c>
      <c r="O47" s="91" t="s">
        <v>97</v>
      </c>
      <c r="P47" s="91" t="s">
        <v>98</v>
      </c>
      <c r="Q47" s="90" t="s">
        <v>99</v>
      </c>
      <c r="R47" s="90" t="s">
        <v>100</v>
      </c>
      <c r="S47" s="91" t="s">
        <v>101</v>
      </c>
      <c r="T47" s="91" t="s">
        <v>102</v>
      </c>
      <c r="U47" s="41" t="s">
        <v>103</v>
      </c>
      <c r="V47" s="42" t="s">
        <v>104</v>
      </c>
    </row>
    <row r="48" spans="1:22" x14ac:dyDescent="0.25">
      <c r="A48" s="102">
        <v>1</v>
      </c>
      <c r="B48" s="290" t="s">
        <v>147</v>
      </c>
      <c r="C48" s="55"/>
      <c r="D48" s="64">
        <v>1</v>
      </c>
      <c r="E48" s="64">
        <v>5000</v>
      </c>
      <c r="F48" s="64">
        <f>D48*E48</f>
        <v>5000</v>
      </c>
      <c r="G48" s="296"/>
      <c r="H48" s="45">
        <f>E48*G48</f>
        <v>0</v>
      </c>
      <c r="I48" s="46" t="str">
        <f>IF(G48&gt;D48,"נא להסביר חריגה","")</f>
        <v/>
      </c>
      <c r="J48" s="297"/>
      <c r="L48" s="320"/>
      <c r="M48" s="47"/>
      <c r="N48" s="48"/>
      <c r="O48" s="49"/>
      <c r="P48" s="50"/>
      <c r="Q48" s="51"/>
      <c r="R48" s="52">
        <f>IF(Q48="",0,Q48-H48)</f>
        <v>0</v>
      </c>
      <c r="S48" s="53">
        <f>IF(H48=0,0,R48/H48)</f>
        <v>0</v>
      </c>
      <c r="T48" s="48"/>
      <c r="U48" s="54"/>
      <c r="V48" s="33"/>
    </row>
    <row r="49" spans="1:22" x14ac:dyDescent="0.25">
      <c r="A49" s="103">
        <v>2</v>
      </c>
      <c r="B49" s="290" t="s">
        <v>282</v>
      </c>
      <c r="C49" s="101" t="s">
        <v>278</v>
      </c>
      <c r="D49" s="140">
        <f>IF('שאלון למילוי מגיש הבקשה-חובה'!$G$33&lt;31,1,IF('שאלון למילוי מגיש הבקשה-חובה'!$G$33&lt;61,2,3))</f>
        <v>1</v>
      </c>
      <c r="E49" s="64">
        <v>700</v>
      </c>
      <c r="F49" s="64">
        <f>D49*E49</f>
        <v>700</v>
      </c>
      <c r="G49" s="296"/>
      <c r="H49" s="45">
        <f>E49*G49</f>
        <v>0</v>
      </c>
      <c r="I49" s="46" t="str">
        <f>IF(G49&gt;D49,"נא להסביר חריגה","")</f>
        <v/>
      </c>
      <c r="J49" s="297"/>
      <c r="L49" s="320"/>
      <c r="M49" s="47"/>
      <c r="N49" s="48"/>
      <c r="O49" s="49"/>
      <c r="P49" s="50"/>
      <c r="Q49" s="51"/>
      <c r="R49" s="52">
        <f t="shared" ref="R49:R51" si="8">IF(Q49="",0,Q49-H49)</f>
        <v>0</v>
      </c>
      <c r="S49" s="53">
        <f>IF(H49=0,0,R49/H49)</f>
        <v>0</v>
      </c>
      <c r="T49" s="48"/>
      <c r="U49" s="54"/>
      <c r="V49" s="33"/>
    </row>
    <row r="50" spans="1:22" x14ac:dyDescent="0.25">
      <c r="A50" s="99">
        <v>3</v>
      </c>
      <c r="B50" s="290" t="s">
        <v>283</v>
      </c>
      <c r="C50" s="101" t="s">
        <v>278</v>
      </c>
      <c r="D50" s="140">
        <f>IF('שאלון למילוי מגיש הבקשה-חובה'!$G$33&lt;31,1,IF('שאלון למילוי מגיש הבקשה-חובה'!$G$33&lt;61,2,3))</f>
        <v>1</v>
      </c>
      <c r="E50" s="64">
        <v>1300</v>
      </c>
      <c r="F50" s="64">
        <f>D50*E50</f>
        <v>1300</v>
      </c>
      <c r="G50" s="296"/>
      <c r="H50" s="45">
        <f>E50*G50</f>
        <v>0</v>
      </c>
      <c r="I50" s="46" t="str">
        <f>IF(G50&gt;D50,"נא להסביר חריגה","")</f>
        <v/>
      </c>
      <c r="J50" s="297"/>
      <c r="L50" s="320"/>
      <c r="M50" s="47"/>
      <c r="N50" s="48"/>
      <c r="O50" s="49"/>
      <c r="P50" s="50"/>
      <c r="Q50" s="51"/>
      <c r="R50" s="52">
        <f t="shared" si="8"/>
        <v>0</v>
      </c>
      <c r="S50" s="53">
        <f>IF(H50=0,0,R50/H50)</f>
        <v>0</v>
      </c>
      <c r="T50" s="48"/>
      <c r="U50" s="54"/>
      <c r="V50" s="33"/>
    </row>
    <row r="51" spans="1:22" s="192" customFormat="1" x14ac:dyDescent="0.25">
      <c r="A51" s="189"/>
      <c r="B51" s="190" t="s">
        <v>148</v>
      </c>
      <c r="C51" s="190"/>
      <c r="D51" s="174"/>
      <c r="E51" s="174"/>
      <c r="F51" s="174">
        <f>SUM(F48:F50)</f>
        <v>7000</v>
      </c>
      <c r="G51" s="191"/>
      <c r="H51" s="191">
        <f>SUM(H48:H50)</f>
        <v>0</v>
      </c>
      <c r="I51" s="191"/>
      <c r="J51" s="191"/>
      <c r="L51" s="193">
        <f>SUM(L48:L50)</f>
        <v>0</v>
      </c>
      <c r="M51" s="194"/>
      <c r="N51" s="195"/>
      <c r="O51" s="196"/>
      <c r="P51" s="197"/>
      <c r="Q51" s="193">
        <f>SUM(Q48:Q50)</f>
        <v>0</v>
      </c>
      <c r="R51" s="188">
        <f t="shared" si="8"/>
        <v>0</v>
      </c>
      <c r="S51" s="198">
        <f>IF(H51=0,0,R51/H51)</f>
        <v>0</v>
      </c>
      <c r="T51" s="199"/>
      <c r="U51" s="200"/>
      <c r="V51" s="201"/>
    </row>
    <row r="52" spans="1:22" x14ac:dyDescent="0.25">
      <c r="A52" s="60"/>
      <c r="B52" s="2"/>
      <c r="C52" s="2"/>
      <c r="D52" s="71"/>
      <c r="E52" s="71"/>
      <c r="F52" s="71"/>
      <c r="G52" s="67"/>
      <c r="H52" s="67"/>
      <c r="I52" s="67"/>
      <c r="J52" s="67"/>
    </row>
    <row r="53" spans="1:22" x14ac:dyDescent="0.25">
      <c r="A53" s="104" t="s">
        <v>114</v>
      </c>
      <c r="B53" s="105" t="str">
        <f>B10</f>
        <v xml:space="preserve">קטגוריה ב'- חללים משותפים וציוד נוסף </v>
      </c>
      <c r="C53" s="105"/>
      <c r="D53" s="66"/>
      <c r="E53" s="66"/>
      <c r="F53" s="66"/>
      <c r="G53" s="66"/>
      <c r="H53" s="66"/>
    </row>
    <row r="54" spans="1:22" ht="41.25" customHeight="1" x14ac:dyDescent="0.25">
      <c r="A54" s="61"/>
      <c r="B54" s="83" t="str">
        <f>B10</f>
        <v xml:space="preserve">קטגוריה ב'- חללים משותפים וציוד נוסף </v>
      </c>
      <c r="C54" s="83"/>
      <c r="D54" s="84"/>
      <c r="E54" s="85"/>
      <c r="F54" s="106" t="s">
        <v>149</v>
      </c>
      <c r="G54" s="107"/>
      <c r="H54" s="106" t="s">
        <v>150</v>
      </c>
      <c r="I54" s="107"/>
      <c r="J54" s="108"/>
      <c r="L54" s="55" t="str">
        <f>L12</f>
        <v>צפי עלות רכישה כולל מע"מ</v>
      </c>
      <c r="M54" s="88"/>
      <c r="N54" s="89"/>
      <c r="O54" s="89"/>
      <c r="P54" s="89"/>
      <c r="Q54" s="90" t="s">
        <v>99</v>
      </c>
      <c r="R54" s="90" t="s">
        <v>115</v>
      </c>
      <c r="S54" s="91" t="s">
        <v>101</v>
      </c>
      <c r="T54" s="83"/>
      <c r="U54" s="92"/>
      <c r="V54" s="36"/>
    </row>
    <row r="55" spans="1:22" s="192" customFormat="1" x14ac:dyDescent="0.25">
      <c r="A55" s="202"/>
      <c r="B55" s="203" t="str">
        <f>'א-ציוד לחדרי קבוצות'!B46</f>
        <v>סה"כ כולל מע"מ</v>
      </c>
      <c r="C55" s="203"/>
      <c r="D55" s="204"/>
      <c r="E55" s="205"/>
      <c r="F55" s="174">
        <f>F16+F20+F27+F38+F44+F51</f>
        <v>144000</v>
      </c>
      <c r="G55" s="174"/>
      <c r="H55" s="174">
        <f>H16+H20+H27+H38+H44+H51</f>
        <v>0</v>
      </c>
      <c r="I55" s="206"/>
      <c r="J55" s="207"/>
      <c r="L55" s="174">
        <f>L16+L20+L27+L38+L44+L51</f>
        <v>0</v>
      </c>
      <c r="M55" s="175"/>
      <c r="N55" s="179"/>
      <c r="O55" s="180"/>
      <c r="P55" s="181"/>
      <c r="Q55" s="174">
        <f>Q16+Q20+Q27+Q38+Q44+Q51</f>
        <v>0</v>
      </c>
      <c r="R55" s="178">
        <f>R16+R20+R27+R38+R44+R51</f>
        <v>0</v>
      </c>
      <c r="S55" s="182">
        <f>IF(H55=0,0,R55/H55)</f>
        <v>0</v>
      </c>
      <c r="T55" s="183"/>
      <c r="U55" s="184"/>
      <c r="V55" s="185"/>
    </row>
    <row r="57" spans="1:22" x14ac:dyDescent="0.25">
      <c r="G57" s="71"/>
    </row>
    <row r="58" spans="1:22" x14ac:dyDescent="0.25">
      <c r="G58" s="71"/>
    </row>
    <row r="59" spans="1:22" x14ac:dyDescent="0.25">
      <c r="G59" s="71"/>
    </row>
  </sheetData>
  <sheetProtection algorithmName="SHA-512" hashValue="8GGY728MoSyEDjQOCl1RY6DWJZBdt6wKi2wesMRXKNaP5nnqbi61hI0bk8JrKO8lTHzUO1FP9Yg9gDQPv9bnTw==" saltValue="et9aiV52RfdOsd+a7HET3Q==" spinCount="100000" sheet="1" formatCells="0" formatColumns="0" formatRows="0"/>
  <phoneticPr fontId="42" type="noConversion"/>
  <conditionalFormatting sqref="I13:I15">
    <cfRule type="cellIs" dxfId="64" priority="36" operator="equal">
      <formula>"נא להסביר חריגה"</formula>
    </cfRule>
    <cfRule type="cellIs" dxfId="63" priority="37" operator="equal">
      <formula>"נא להסביר חריגה"</formula>
    </cfRule>
  </conditionalFormatting>
  <conditionalFormatting sqref="I20">
    <cfRule type="cellIs" dxfId="62" priority="34" operator="equal">
      <formula>"נא להסביר חריגה"</formula>
    </cfRule>
    <cfRule type="cellIs" dxfId="61" priority="33" operator="equal">
      <formula>"נא להסביר חריגה"</formula>
    </cfRule>
    <cfRule type="containsText" dxfId="60" priority="35" operator="containsText" text="נא להסביר חריגה כאן">
      <formula>NOT(ISERROR(SEARCH("נא להסביר חריגה כאן",I20)))</formula>
    </cfRule>
  </conditionalFormatting>
  <conditionalFormatting sqref="I24:I26">
    <cfRule type="containsText" dxfId="59" priority="32" operator="containsText" text="נא להסביר חריגה כאן">
      <formula>NOT(ISERROR(SEARCH("נא להסביר חריגה כאן",I24)))</formula>
    </cfRule>
    <cfRule type="cellIs" dxfId="58" priority="31" operator="equal">
      <formula>"נא להסביר חריגה"</formula>
    </cfRule>
    <cfRule type="cellIs" dxfId="57" priority="30" operator="equal">
      <formula>"נא להסביר חריגה"</formula>
    </cfRule>
  </conditionalFormatting>
  <conditionalFormatting sqref="I31:I37">
    <cfRule type="cellIs" dxfId="56" priority="28" operator="equal">
      <formula>"נא להסביר חריגה"</formula>
    </cfRule>
    <cfRule type="containsText" dxfId="55" priority="29" operator="containsText" text="נא להסביר חריגה כאן">
      <formula>NOT(ISERROR(SEARCH("נא להסביר חריגה כאן",I31)))</formula>
    </cfRule>
    <cfRule type="cellIs" dxfId="54" priority="27" operator="equal">
      <formula>"נא להסביר חריגה"</formula>
    </cfRule>
  </conditionalFormatting>
  <conditionalFormatting sqref="I42:I43">
    <cfRule type="cellIs" dxfId="53" priority="24" operator="equal">
      <formula>"נא להסביר חריגה"</formula>
    </cfRule>
    <cfRule type="cellIs" dxfId="52" priority="25" operator="equal">
      <formula>"נא להסביר חריגה"</formula>
    </cfRule>
    <cfRule type="containsText" dxfId="51" priority="26" operator="containsText" text="נא להסביר חריגה כאן">
      <formula>NOT(ISERROR(SEARCH("נא להסביר חריגה כאן",I42)))</formula>
    </cfRule>
  </conditionalFormatting>
  <conditionalFormatting sqref="I48:I50">
    <cfRule type="cellIs" dxfId="50" priority="21" operator="equal">
      <formula>"נא להסביר חריגה"</formula>
    </cfRule>
    <cfRule type="cellIs" dxfId="49" priority="22" operator="equal">
      <formula>"נא להסביר חריגה"</formula>
    </cfRule>
    <cfRule type="containsText" dxfId="48" priority="23" operator="containsText" text="נא להסביר חריגה כאן">
      <formula>NOT(ISERROR(SEARCH("נא להסביר חריגה כאן",I48)))</formula>
    </cfRule>
  </conditionalFormatting>
  <conditionalFormatting sqref="I13:J15">
    <cfRule type="containsText" dxfId="47" priority="38" operator="containsText" text="נא להסביר חריגה כאן">
      <formula>NOT(ISERROR(SEARCH("נא להסביר חריגה כאן",I13)))</formula>
    </cfRule>
  </conditionalFormatting>
  <conditionalFormatting sqref="J20">
    <cfRule type="containsText" dxfId="46" priority="5" operator="containsText" text="נא להסביר חריגה כאן">
      <formula>NOT(ISERROR(SEARCH("נא להסביר חריגה כאן",J20)))</formula>
    </cfRule>
  </conditionalFormatting>
  <conditionalFormatting sqref="J24:J26">
    <cfRule type="containsText" dxfId="45" priority="4" operator="containsText" text="נא להסביר חריגה כאן">
      <formula>NOT(ISERROR(SEARCH("נא להסביר חריגה כאן",J24)))</formula>
    </cfRule>
  </conditionalFormatting>
  <conditionalFormatting sqref="J31:J37">
    <cfRule type="containsText" dxfId="44" priority="3" operator="containsText" text="נא להסביר חריגה כאן">
      <formula>NOT(ISERROR(SEARCH("נא להסביר חריגה כאן",J31)))</formula>
    </cfRule>
  </conditionalFormatting>
  <conditionalFormatting sqref="J42:J43">
    <cfRule type="containsText" dxfId="43" priority="2" operator="containsText" text="נא להסביר חריגה כאן">
      <formula>NOT(ISERROR(SEARCH("נא להסביר חריגה כאן",J42)))</formula>
    </cfRule>
  </conditionalFormatting>
  <conditionalFormatting sqref="J48:J50">
    <cfRule type="containsText" dxfId="42" priority="1" operator="containsText" text="נא להסביר חריגה כאן">
      <formula>NOT(ISERROR(SEARCH("נא להסביר חריגה כאן",J48)))</formula>
    </cfRule>
  </conditionalFormatting>
  <conditionalFormatting sqref="L13:L15">
    <cfRule type="containsText" dxfId="41" priority="14" operator="containsText" text="נא להסביר חריגה כאן">
      <formula>NOT(ISERROR(SEARCH("נא להסביר חריגה כאן",L13)))</formula>
    </cfRule>
  </conditionalFormatting>
  <conditionalFormatting sqref="L20">
    <cfRule type="containsText" dxfId="40" priority="13" operator="containsText" text="נא להסביר חריגה כאן">
      <formula>NOT(ISERROR(SEARCH("נא להסביר חריגה כאן",L20)))</formula>
    </cfRule>
  </conditionalFormatting>
  <conditionalFormatting sqref="L24:L26">
    <cfRule type="containsText" dxfId="39" priority="12" operator="containsText" text="נא להסביר חריגה כאן">
      <formula>NOT(ISERROR(SEARCH("נא להסביר חריגה כאן",L24)))</formula>
    </cfRule>
  </conditionalFormatting>
  <conditionalFormatting sqref="L31:L37">
    <cfRule type="containsText" dxfId="38" priority="11" operator="containsText" text="נא להסביר חריגה כאן">
      <formula>NOT(ISERROR(SEARCH("נא להסביר חריגה כאן",L31)))</formula>
    </cfRule>
  </conditionalFormatting>
  <conditionalFormatting sqref="L42:L43">
    <cfRule type="containsText" dxfId="37" priority="10" operator="containsText" text="נא להסביר חריגה כאן">
      <formula>NOT(ISERROR(SEARCH("נא להסביר חריגה כאן",L42)))</formula>
    </cfRule>
  </conditionalFormatting>
  <conditionalFormatting sqref="L48:L50">
    <cfRule type="containsText" dxfId="36" priority="9" operator="containsText" text="נא להסביר חריגה כאן">
      <formula>NOT(ISERROR(SEARCH("נא להסביר חריגה כאן",L48)))</formula>
    </cfRule>
  </conditionalFormatting>
  <conditionalFormatting sqref="R13:S16">
    <cfRule type="cellIs" dxfId="35" priority="47" operator="greaterThan">
      <formula>0</formula>
    </cfRule>
  </conditionalFormatting>
  <conditionalFormatting sqref="R20:S20">
    <cfRule type="cellIs" dxfId="34" priority="57" operator="greaterThan">
      <formula>0</formula>
    </cfRule>
  </conditionalFormatting>
  <conditionalFormatting sqref="R24:S27">
    <cfRule type="cellIs" dxfId="33" priority="46" operator="greaterThan">
      <formula>0</formula>
    </cfRule>
  </conditionalFormatting>
  <conditionalFormatting sqref="R31:S38">
    <cfRule type="cellIs" dxfId="32" priority="45" operator="greaterThan">
      <formula>0</formula>
    </cfRule>
  </conditionalFormatting>
  <conditionalFormatting sqref="R42:S44">
    <cfRule type="cellIs" dxfId="31" priority="44" operator="greaterThan">
      <formula>0</formula>
    </cfRule>
  </conditionalFormatting>
  <conditionalFormatting sqref="R48:S51">
    <cfRule type="cellIs" dxfId="30" priority="43" operator="greaterThan">
      <formula>0</formula>
    </cfRule>
  </conditionalFormatting>
  <conditionalFormatting sqref="S55:T55">
    <cfRule type="cellIs" dxfId="29" priority="48" operator="greaterThan">
      <formula>0</formula>
    </cfRule>
  </conditionalFormatting>
  <pageMargins left="0.70833333333333304" right="1.2993055555555599" top="0.74861111111111101" bottom="0.74791666666666701" header="0.31527777777777799" footer="0.511811023622047"/>
  <pageSetup scale="80" orientation="landscape" horizontalDpi="300" verticalDpi="300"/>
  <headerFooter>
    <oddHeader>&amp;C&amp;"David,Regular"&amp;16 קרנות הביטוח הלאומי_x005F_x000a_הקרן לפיתוח שרותים לנכים</oddHeader>
  </headerFooter>
  <rowBreaks count="1" manualBreakCount="1">
    <brk id="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78"/>
  <sheetViews>
    <sheetView rightToLeft="1" zoomScale="80" zoomScaleNormal="80" workbookViewId="0">
      <selection activeCell="G14" sqref="G14"/>
    </sheetView>
  </sheetViews>
  <sheetFormatPr defaultColWidth="9" defaultRowHeight="13.8" outlineLevelCol="1" x14ac:dyDescent="0.25"/>
  <cols>
    <col min="1" max="1" width="5" style="93" customWidth="1"/>
    <col min="2" max="2" width="27.6640625" style="93" customWidth="1"/>
    <col min="3" max="3" width="31" style="93" customWidth="1"/>
    <col min="4" max="4" width="10.44140625" style="93" customWidth="1"/>
    <col min="5" max="5" width="12.88671875" style="93" customWidth="1"/>
    <col min="6" max="6" width="11.88671875" style="93" customWidth="1"/>
    <col min="7" max="7" width="10.6640625" style="93" customWidth="1"/>
    <col min="8" max="8" width="13" style="93" customWidth="1"/>
    <col min="9" max="9" width="14" style="93" customWidth="1"/>
    <col min="10" max="10" width="21.5546875" style="93" customWidth="1"/>
    <col min="11" max="11" width="3.21875" style="93" customWidth="1"/>
    <col min="12" max="13" width="9" style="93" hidden="1" customWidth="1" outlineLevel="1"/>
    <col min="14" max="14" width="14.5546875" style="93" hidden="1" customWidth="1" outlineLevel="1"/>
    <col min="15" max="16" width="9" style="93" hidden="1" customWidth="1" outlineLevel="1"/>
    <col min="17" max="17" width="10.6640625" style="93" hidden="1" customWidth="1" outlineLevel="1"/>
    <col min="18" max="18" width="14.33203125" style="93" hidden="1" customWidth="1" outlineLevel="1"/>
    <col min="19" max="22" width="9" style="93" hidden="1" customWidth="1" outlineLevel="1"/>
    <col min="23" max="23" width="9" style="93" collapsed="1"/>
    <col min="24" max="16384" width="9" style="93"/>
  </cols>
  <sheetData>
    <row r="1" spans="1:22" x14ac:dyDescent="0.25">
      <c r="A1" s="192"/>
      <c r="B1" s="345" t="str">
        <f>פתיח!$B$3&amp;": גירסת "&amp;פתיח!$E$4</f>
        <v>תקן ציוד כללי למרכזי יום טיפוליים ולמסגרות מזדקנים לאנשים עם מוגבלות: גירסת 2 בספטמבר 2026</v>
      </c>
      <c r="C1" s="6"/>
      <c r="D1" s="192"/>
      <c r="E1" s="192"/>
      <c r="F1" s="192"/>
    </row>
    <row r="2" spans="1:22" ht="15" customHeight="1" x14ac:dyDescent="0.3">
      <c r="A2" s="3"/>
      <c r="B2" s="94" t="str">
        <f>'שאלון למילוי מגיש הבקשה-חובה'!$C$7</f>
        <v>שם הגוף המבקש:</v>
      </c>
      <c r="C2" s="94"/>
      <c r="D2" s="344">
        <f>'שאלון למילוי מגיש הבקשה-חובה'!$G$7</f>
        <v>0</v>
      </c>
      <c r="E2" s="28"/>
      <c r="F2" s="28"/>
    </row>
    <row r="3" spans="1:22" ht="15" customHeight="1" x14ac:dyDescent="0.3">
      <c r="A3" s="3"/>
      <c r="B3" s="94" t="str">
        <f>'שאלון למילוי מגיש הבקשה-חובה'!$C$18</f>
        <v>שם המסגרת:</v>
      </c>
      <c r="C3" s="94"/>
      <c r="D3" s="344">
        <f>'שאלון למילוי מגיש הבקשה-חובה'!$G$18</f>
        <v>0</v>
      </c>
      <c r="E3" s="28"/>
      <c r="F3" s="28"/>
    </row>
    <row r="4" spans="1:22" ht="15" customHeight="1" x14ac:dyDescent="0.25">
      <c r="A4" s="1"/>
      <c r="B4" s="28" t="str">
        <f>'שאלון למילוי מגיש הבקשה-חובה'!$C$33</f>
        <v>מספר האנשים שעבורם מיועד הפרויקט:</v>
      </c>
      <c r="C4" s="28"/>
      <c r="D4" s="28">
        <f>'שאלון למילוי מגיש הבקשה-חובה'!$G$33</f>
        <v>0</v>
      </c>
    </row>
    <row r="5" spans="1:22" ht="15" customHeight="1" x14ac:dyDescent="0.25">
      <c r="A5" s="1"/>
      <c r="B5" s="28" t="str">
        <f>'שאלון למילוי מגיש הבקשה-חובה'!$C$35</f>
        <v>מספר חדרי פעילות:</v>
      </c>
      <c r="C5" s="28"/>
      <c r="D5" s="28">
        <f>'שאלון למילוי מגיש הבקשה-חובה'!$G$35</f>
        <v>0</v>
      </c>
    </row>
    <row r="6" spans="1:22" ht="15" customHeight="1" x14ac:dyDescent="0.25">
      <c r="A6" s="1"/>
      <c r="B6" s="95" t="s">
        <v>151</v>
      </c>
      <c r="C6" s="95"/>
      <c r="D6" s="28"/>
    </row>
    <row r="7" spans="1:22" x14ac:dyDescent="0.25">
      <c r="A7" s="95"/>
      <c r="B7" s="28" t="str">
        <f>'א-ציוד לחדרי קבוצות'!B7</f>
        <v>כמויות התקן משתנות בהתאם  למספר האנשים במסגרת ומספר חדרי קבוצות.</v>
      </c>
      <c r="C7" s="28"/>
    </row>
    <row r="8" spans="1:22" x14ac:dyDescent="0.25">
      <c r="B8" s="295" t="s">
        <v>238</v>
      </c>
      <c r="C8" s="295"/>
    </row>
    <row r="9" spans="1:22" x14ac:dyDescent="0.25">
      <c r="B9" s="28" t="str">
        <f>'א-ציוד לחדרי קבוצות'!B9</f>
        <v xml:space="preserve">כל  המחירים והעלויות להלן  נקובים  בש"ח  וכוללים  מע"מ  </v>
      </c>
      <c r="C9" s="28"/>
    </row>
    <row r="10" spans="1:22" x14ac:dyDescent="0.25">
      <c r="B10" s="95" t="s">
        <v>152</v>
      </c>
      <c r="C10" s="95"/>
      <c r="E10" s="1"/>
    </row>
    <row r="11" spans="1:22" ht="17.25" customHeight="1" x14ac:dyDescent="0.25">
      <c r="A11" s="1">
        <v>3</v>
      </c>
      <c r="B11" s="28" t="s">
        <v>153</v>
      </c>
      <c r="C11" s="28"/>
      <c r="D11" s="28" t="s">
        <v>154</v>
      </c>
      <c r="E11" s="21"/>
      <c r="F11" s="21"/>
      <c r="G11" s="21"/>
      <c r="H11" s="21"/>
      <c r="I11" s="21"/>
      <c r="J11" s="21"/>
    </row>
    <row r="12" spans="1:22" ht="27.75" customHeight="1" x14ac:dyDescent="0.25">
      <c r="A12" s="99">
        <v>3.1</v>
      </c>
      <c r="B12" s="34" t="s">
        <v>155</v>
      </c>
      <c r="C12" s="111"/>
      <c r="D12" s="62"/>
      <c r="E12" s="62"/>
      <c r="F12" s="97"/>
      <c r="G12" s="61" t="s">
        <v>156</v>
      </c>
      <c r="H12" s="62"/>
      <c r="I12" s="62"/>
      <c r="J12" s="97"/>
      <c r="L12" s="37" t="s">
        <v>83</v>
      </c>
      <c r="M12" s="38"/>
      <c r="N12" s="38" t="s">
        <v>84</v>
      </c>
      <c r="O12" s="38"/>
      <c r="P12" s="38"/>
      <c r="Q12" s="38"/>
      <c r="R12" s="38"/>
      <c r="S12" s="38"/>
      <c r="T12" s="38"/>
      <c r="U12" s="38"/>
      <c r="V12" s="39"/>
    </row>
    <row r="13" spans="1:22" ht="69" x14ac:dyDescent="0.25">
      <c r="A13" s="55" t="s">
        <v>85</v>
      </c>
      <c r="B13" s="55" t="s">
        <v>157</v>
      </c>
      <c r="C13" s="55" t="s">
        <v>242</v>
      </c>
      <c r="D13" s="55" t="s">
        <v>87</v>
      </c>
      <c r="E13" s="55" t="s">
        <v>88</v>
      </c>
      <c r="F13" s="55" t="s">
        <v>89</v>
      </c>
      <c r="G13" s="55" t="s">
        <v>90</v>
      </c>
      <c r="H13" s="55" t="s">
        <v>91</v>
      </c>
      <c r="I13" s="55" t="s">
        <v>92</v>
      </c>
      <c r="J13" s="55" t="s">
        <v>93</v>
      </c>
      <c r="L13" s="40" t="s">
        <v>94</v>
      </c>
      <c r="M13" s="274" t="s">
        <v>95</v>
      </c>
      <c r="N13" s="91" t="s">
        <v>96</v>
      </c>
      <c r="O13" s="91" t="s">
        <v>97</v>
      </c>
      <c r="P13" s="91" t="s">
        <v>98</v>
      </c>
      <c r="Q13" s="90" t="s">
        <v>99</v>
      </c>
      <c r="R13" s="90" t="s">
        <v>100</v>
      </c>
      <c r="S13" s="91" t="s">
        <v>101</v>
      </c>
      <c r="T13" s="91" t="s">
        <v>102</v>
      </c>
      <c r="U13" s="41" t="s">
        <v>103</v>
      </c>
      <c r="V13" s="42" t="s">
        <v>104</v>
      </c>
    </row>
    <row r="14" spans="1:22" x14ac:dyDescent="0.25">
      <c r="A14" s="99">
        <v>1</v>
      </c>
      <c r="B14" s="290" t="s">
        <v>311</v>
      </c>
      <c r="C14" s="55" t="s">
        <v>278</v>
      </c>
      <c r="D14" s="64">
        <v>1</v>
      </c>
      <c r="E14" s="140">
        <f>IF('שאלון למילוי מגיש הבקשה-חובה'!$G$33&lt;31,6000,IF('שאלון למילוי מגיש הבקשה-חובה'!$G$33&lt;61,8000,15000))</f>
        <v>6000</v>
      </c>
      <c r="F14" s="45">
        <f t="shared" ref="F14:F31" si="0">D14*E14</f>
        <v>6000</v>
      </c>
      <c r="G14" s="296"/>
      <c r="H14" s="45">
        <f t="shared" ref="H14:H31" si="1">E14*G14</f>
        <v>0</v>
      </c>
      <c r="I14" s="46" t="str">
        <f t="shared" ref="I14:I31" si="2">IF(G14&gt;D14,"נא להסביר חריגה","")</f>
        <v/>
      </c>
      <c r="J14" s="297"/>
      <c r="L14" s="320"/>
      <c r="M14" s="47"/>
      <c r="N14" s="48"/>
      <c r="O14" s="49"/>
      <c r="P14" s="50"/>
      <c r="Q14" s="51"/>
      <c r="R14" s="52">
        <f t="shared" ref="R14:R32" si="3">IF(Q14="",0,Q14-H14)</f>
        <v>0</v>
      </c>
      <c r="S14" s="53">
        <f t="shared" ref="S14:S32" si="4">IF(H14=0,0,R14/H14)</f>
        <v>0</v>
      </c>
      <c r="T14" s="48"/>
      <c r="U14" s="54"/>
      <c r="V14" s="33"/>
    </row>
    <row r="15" spans="1:22" x14ac:dyDescent="0.25">
      <c r="A15" s="99">
        <v>2</v>
      </c>
      <c r="B15" s="290" t="s">
        <v>298</v>
      </c>
      <c r="C15" s="55" t="s">
        <v>278</v>
      </c>
      <c r="D15" s="64">
        <v>1</v>
      </c>
      <c r="E15" s="140">
        <f>IF('שאלון למילוי מגיש הבקשה-חובה'!$G$33&lt;31,6000,IF('שאלון למילוי מגיש הבקשה-חובה'!$G$33&lt;61,8000,15000))</f>
        <v>6000</v>
      </c>
      <c r="F15" s="45">
        <f t="shared" si="0"/>
        <v>6000</v>
      </c>
      <c r="G15" s="296"/>
      <c r="H15" s="45">
        <f t="shared" si="1"/>
        <v>0</v>
      </c>
      <c r="I15" s="46" t="str">
        <f t="shared" si="2"/>
        <v/>
      </c>
      <c r="J15" s="297"/>
      <c r="L15" s="320"/>
      <c r="M15" s="47"/>
      <c r="N15" s="48"/>
      <c r="O15" s="49"/>
      <c r="P15" s="50"/>
      <c r="Q15" s="51"/>
      <c r="R15" s="52">
        <f t="shared" si="3"/>
        <v>0</v>
      </c>
      <c r="S15" s="53">
        <f t="shared" si="4"/>
        <v>0</v>
      </c>
      <c r="T15" s="48"/>
      <c r="U15" s="54"/>
      <c r="V15" s="33"/>
    </row>
    <row r="16" spans="1:22" x14ac:dyDescent="0.25">
      <c r="A16" s="99">
        <v>3</v>
      </c>
      <c r="B16" s="290" t="s">
        <v>325</v>
      </c>
      <c r="C16" s="55" t="s">
        <v>278</v>
      </c>
      <c r="D16" s="64">
        <v>1</v>
      </c>
      <c r="E16" s="140">
        <f>IF('שאלון למילוי מגיש הבקשה-חובה'!$G$33&lt;31,20000,IF('שאלון למילוי מגיש הבקשה-חובה'!$G$33&lt;61,30000,40000))</f>
        <v>20000</v>
      </c>
      <c r="F16" s="45">
        <f t="shared" si="0"/>
        <v>20000</v>
      </c>
      <c r="G16" s="296"/>
      <c r="H16" s="45">
        <f t="shared" si="1"/>
        <v>0</v>
      </c>
      <c r="I16" s="46" t="str">
        <f t="shared" si="2"/>
        <v/>
      </c>
      <c r="J16" s="297"/>
      <c r="L16" s="320"/>
      <c r="M16" s="47"/>
      <c r="N16" s="48"/>
      <c r="O16" s="49"/>
      <c r="P16" s="50"/>
      <c r="Q16" s="51"/>
      <c r="R16" s="52">
        <f t="shared" si="3"/>
        <v>0</v>
      </c>
      <c r="S16" s="53">
        <f t="shared" si="4"/>
        <v>0</v>
      </c>
      <c r="T16" s="48"/>
      <c r="U16" s="54"/>
      <c r="V16" s="33"/>
    </row>
    <row r="17" spans="1:22" x14ac:dyDescent="0.25">
      <c r="A17" s="99">
        <v>4</v>
      </c>
      <c r="B17" s="347" t="s">
        <v>324</v>
      </c>
      <c r="C17" s="55" t="s">
        <v>278</v>
      </c>
      <c r="D17" s="64">
        <v>1</v>
      </c>
      <c r="E17" s="140">
        <f>IF('שאלון למילוי מגיש הבקשה-חובה'!$G$33&lt;31,12000,IF('שאלון למילוי מגיש הבקשה-חובה'!$G$33&lt;61,18000,24000))</f>
        <v>12000</v>
      </c>
      <c r="F17" s="45">
        <f t="shared" ref="F17" si="5">D17*E17</f>
        <v>12000</v>
      </c>
      <c r="G17" s="296"/>
      <c r="H17" s="45">
        <f t="shared" ref="H17" si="6">E17*G17</f>
        <v>0</v>
      </c>
      <c r="I17" s="46" t="str">
        <f t="shared" ref="I17" si="7">IF(G17&gt;D17,"נא להסביר חריגה","")</f>
        <v/>
      </c>
      <c r="J17" s="297"/>
      <c r="L17" s="320"/>
      <c r="M17" s="47"/>
      <c r="N17" s="48"/>
      <c r="O17" s="49"/>
      <c r="P17" s="50"/>
      <c r="Q17" s="51"/>
      <c r="R17" s="52">
        <f t="shared" ref="R17" si="8">IF(Q17="",0,Q17-H17)</f>
        <v>0</v>
      </c>
      <c r="S17" s="53">
        <f t="shared" ref="S17" si="9">IF(H17=0,0,R17/H17)</f>
        <v>0</v>
      </c>
      <c r="T17" s="48"/>
      <c r="U17" s="54"/>
      <c r="V17" s="33"/>
    </row>
    <row r="18" spans="1:22" x14ac:dyDescent="0.25">
      <c r="A18" s="99">
        <v>5</v>
      </c>
      <c r="B18" s="290" t="s">
        <v>300</v>
      </c>
      <c r="C18" s="55" t="s">
        <v>278</v>
      </c>
      <c r="D18" s="64">
        <v>1</v>
      </c>
      <c r="E18" s="140">
        <f>IF('שאלון למילוי מגיש הבקשה-חובה'!$G$33&lt;31,12000,IF('שאלון למילוי מגיש הבקשה-חובה'!$G$33&lt;61,15000,25000))</f>
        <v>12000</v>
      </c>
      <c r="F18" s="45">
        <f t="shared" si="0"/>
        <v>12000</v>
      </c>
      <c r="G18" s="296"/>
      <c r="H18" s="45">
        <f t="shared" si="1"/>
        <v>0</v>
      </c>
      <c r="I18" s="46" t="str">
        <f t="shared" si="2"/>
        <v/>
      </c>
      <c r="J18" s="297"/>
      <c r="L18" s="320"/>
      <c r="M18" s="47"/>
      <c r="N18" s="48"/>
      <c r="O18" s="49"/>
      <c r="P18" s="50"/>
      <c r="Q18" s="51"/>
      <c r="R18" s="52">
        <f t="shared" si="3"/>
        <v>0</v>
      </c>
      <c r="S18" s="53">
        <f t="shared" si="4"/>
        <v>0</v>
      </c>
      <c r="T18" s="48"/>
      <c r="U18" s="54"/>
      <c r="V18" s="33"/>
    </row>
    <row r="19" spans="1:22" x14ac:dyDescent="0.25">
      <c r="A19" s="99">
        <v>6</v>
      </c>
      <c r="B19" s="290" t="s">
        <v>158</v>
      </c>
      <c r="C19" s="55"/>
      <c r="D19" s="64">
        <v>1</v>
      </c>
      <c r="E19" s="141">
        <v>5000</v>
      </c>
      <c r="F19" s="45">
        <f t="shared" si="0"/>
        <v>5000</v>
      </c>
      <c r="G19" s="296"/>
      <c r="H19" s="45">
        <f t="shared" si="1"/>
        <v>0</v>
      </c>
      <c r="I19" s="46" t="str">
        <f t="shared" si="2"/>
        <v/>
      </c>
      <c r="J19" s="297"/>
      <c r="L19" s="320"/>
      <c r="M19" s="47"/>
      <c r="N19" s="48"/>
      <c r="O19" s="49"/>
      <c r="P19" s="50"/>
      <c r="Q19" s="51"/>
      <c r="R19" s="52">
        <f t="shared" si="3"/>
        <v>0</v>
      </c>
      <c r="S19" s="53">
        <f t="shared" si="4"/>
        <v>0</v>
      </c>
      <c r="T19" s="48"/>
      <c r="U19" s="54"/>
      <c r="V19" s="33"/>
    </row>
    <row r="20" spans="1:22" x14ac:dyDescent="0.25">
      <c r="A20" s="99">
        <v>7</v>
      </c>
      <c r="B20" s="290" t="s">
        <v>327</v>
      </c>
      <c r="C20" s="55" t="s">
        <v>278</v>
      </c>
      <c r="D20" s="64">
        <v>1</v>
      </c>
      <c r="E20" s="140">
        <f>IF('שאלון למילוי מגיש הבקשה-חובה'!$G$33&lt;31,15000,IF('שאלון למילוי מגיש הבקשה-חובה'!$G$33&lt;61,20000,30000))</f>
        <v>15000</v>
      </c>
      <c r="F20" s="45">
        <f t="shared" si="0"/>
        <v>15000</v>
      </c>
      <c r="G20" s="296"/>
      <c r="H20" s="45">
        <f t="shared" si="1"/>
        <v>0</v>
      </c>
      <c r="I20" s="46" t="str">
        <f t="shared" si="2"/>
        <v/>
      </c>
      <c r="J20" s="297"/>
      <c r="L20" s="320"/>
      <c r="M20" s="47"/>
      <c r="N20" s="48"/>
      <c r="O20" s="49"/>
      <c r="P20" s="50"/>
      <c r="Q20" s="51"/>
      <c r="R20" s="52">
        <f t="shared" si="3"/>
        <v>0</v>
      </c>
      <c r="S20" s="53">
        <f t="shared" si="4"/>
        <v>0</v>
      </c>
      <c r="T20" s="48"/>
      <c r="U20" s="54"/>
      <c r="V20" s="33"/>
    </row>
    <row r="21" spans="1:22" x14ac:dyDescent="0.25">
      <c r="A21" s="99">
        <v>8</v>
      </c>
      <c r="B21" s="290" t="s">
        <v>165</v>
      </c>
      <c r="C21" s="55"/>
      <c r="D21" s="64">
        <v>1</v>
      </c>
      <c r="E21" s="57">
        <v>6000</v>
      </c>
      <c r="F21" s="45">
        <f t="shared" si="0"/>
        <v>6000</v>
      </c>
      <c r="G21" s="296"/>
      <c r="H21" s="45">
        <f t="shared" ref="H21" si="10">E21*G21</f>
        <v>0</v>
      </c>
      <c r="I21" s="46" t="str">
        <f t="shared" ref="I21" si="11">IF(G21&gt;D21,"נא להסביר חריגה","")</f>
        <v/>
      </c>
      <c r="J21" s="297"/>
      <c r="L21" s="320"/>
      <c r="M21" s="47"/>
      <c r="N21" s="48"/>
      <c r="O21" s="49"/>
      <c r="P21" s="50"/>
      <c r="Q21" s="51"/>
      <c r="R21" s="52">
        <f t="shared" ref="R21:R24" si="12">IF(Q21="",0,Q21-H21)</f>
        <v>0</v>
      </c>
      <c r="S21" s="53">
        <f t="shared" ref="S21:S24" si="13">IF(H21=0,0,R21/H21)</f>
        <v>0</v>
      </c>
      <c r="T21" s="48"/>
      <c r="U21" s="54"/>
      <c r="V21" s="33"/>
    </row>
    <row r="22" spans="1:22" x14ac:dyDescent="0.25">
      <c r="A22" s="99">
        <v>9</v>
      </c>
      <c r="B22" s="290" t="s">
        <v>159</v>
      </c>
      <c r="C22" s="55"/>
      <c r="D22" s="64">
        <v>1</v>
      </c>
      <c r="E22" s="64">
        <v>4000</v>
      </c>
      <c r="F22" s="45">
        <f t="shared" si="0"/>
        <v>4000</v>
      </c>
      <c r="G22" s="296"/>
      <c r="H22" s="45">
        <f t="shared" si="1"/>
        <v>0</v>
      </c>
      <c r="I22" s="46" t="str">
        <f t="shared" si="2"/>
        <v/>
      </c>
      <c r="J22" s="297"/>
      <c r="L22" s="320"/>
      <c r="M22" s="47"/>
      <c r="N22" s="48"/>
      <c r="O22" s="49"/>
      <c r="P22" s="50"/>
      <c r="Q22" s="51"/>
      <c r="R22" s="52">
        <f t="shared" si="12"/>
        <v>0</v>
      </c>
      <c r="S22" s="53">
        <f t="shared" si="13"/>
        <v>0</v>
      </c>
      <c r="T22" s="48"/>
      <c r="U22" s="54"/>
      <c r="V22" s="33"/>
    </row>
    <row r="23" spans="1:22" x14ac:dyDescent="0.25">
      <c r="A23" s="99">
        <v>10</v>
      </c>
      <c r="B23" s="290" t="s">
        <v>340</v>
      </c>
      <c r="C23" s="55"/>
      <c r="D23" s="64">
        <v>4</v>
      </c>
      <c r="E23" s="57">
        <v>2000</v>
      </c>
      <c r="F23" s="45">
        <f t="shared" ref="F23" si="14">D23*E23</f>
        <v>8000</v>
      </c>
      <c r="G23" s="296"/>
      <c r="H23" s="45">
        <f t="shared" ref="H23" si="15">E23*G23</f>
        <v>0</v>
      </c>
      <c r="I23" s="46" t="str">
        <f t="shared" ref="I23" si="16">IF(G23&gt;D23,"נא להסביר חריגה","")</f>
        <v/>
      </c>
      <c r="J23" s="297"/>
      <c r="L23" s="320"/>
      <c r="M23" s="47"/>
      <c r="N23" s="48"/>
      <c r="O23" s="49"/>
      <c r="P23" s="50"/>
      <c r="Q23" s="51"/>
      <c r="R23" s="52">
        <f t="shared" ref="R23" si="17">IF(Q23="",0,Q23-H23)</f>
        <v>0</v>
      </c>
      <c r="S23" s="53">
        <f t="shared" ref="S23" si="18">IF(H23=0,0,R23/H23)</f>
        <v>0</v>
      </c>
      <c r="T23" s="48"/>
      <c r="U23" s="54"/>
      <c r="V23" s="33"/>
    </row>
    <row r="24" spans="1:22" x14ac:dyDescent="0.25">
      <c r="A24" s="99">
        <v>11</v>
      </c>
      <c r="B24" s="290" t="s">
        <v>303</v>
      </c>
      <c r="C24" s="55" t="s">
        <v>278</v>
      </c>
      <c r="D24" s="64">
        <v>1</v>
      </c>
      <c r="E24" s="140">
        <f>IF('שאלון למילוי מגיש הבקשה-חובה'!$G$33&lt;31,6000,IF('שאלון למילוי מגיש הבקשה-חובה'!$G$33&lt;61,9000,12000))</f>
        <v>6000</v>
      </c>
      <c r="F24" s="45">
        <f t="shared" si="0"/>
        <v>6000</v>
      </c>
      <c r="G24" s="296"/>
      <c r="H24" s="45">
        <f t="shared" si="1"/>
        <v>0</v>
      </c>
      <c r="I24" s="46" t="str">
        <f t="shared" si="2"/>
        <v/>
      </c>
      <c r="J24" s="297"/>
      <c r="L24" s="320"/>
      <c r="M24" s="47"/>
      <c r="N24" s="48"/>
      <c r="O24" s="49"/>
      <c r="P24" s="50"/>
      <c r="Q24" s="51"/>
      <c r="R24" s="52">
        <f t="shared" si="12"/>
        <v>0</v>
      </c>
      <c r="S24" s="53">
        <f t="shared" si="13"/>
        <v>0</v>
      </c>
      <c r="T24" s="48"/>
      <c r="U24" s="54"/>
      <c r="V24" s="33"/>
    </row>
    <row r="25" spans="1:22" x14ac:dyDescent="0.25">
      <c r="A25" s="99">
        <v>12</v>
      </c>
      <c r="B25" s="290" t="s">
        <v>160</v>
      </c>
      <c r="C25" s="55"/>
      <c r="D25" s="64">
        <v>1</v>
      </c>
      <c r="E25" s="64">
        <v>3000</v>
      </c>
      <c r="F25" s="45">
        <f t="shared" si="0"/>
        <v>3000</v>
      </c>
      <c r="G25" s="296"/>
      <c r="H25" s="45">
        <f t="shared" si="1"/>
        <v>0</v>
      </c>
      <c r="I25" s="46" t="str">
        <f t="shared" si="2"/>
        <v/>
      </c>
      <c r="J25" s="297"/>
      <c r="L25" s="320"/>
      <c r="M25" s="47"/>
      <c r="N25" s="48"/>
      <c r="O25" s="49"/>
      <c r="P25" s="50"/>
      <c r="Q25" s="51"/>
      <c r="R25" s="52">
        <f t="shared" si="3"/>
        <v>0</v>
      </c>
      <c r="S25" s="53">
        <f t="shared" si="4"/>
        <v>0</v>
      </c>
      <c r="T25" s="48"/>
      <c r="U25" s="54"/>
      <c r="V25" s="33"/>
    </row>
    <row r="26" spans="1:22" x14ac:dyDescent="0.25">
      <c r="A26" s="99">
        <v>13</v>
      </c>
      <c r="B26" s="315" t="s">
        <v>304</v>
      </c>
      <c r="C26" s="55" t="s">
        <v>278</v>
      </c>
      <c r="D26" s="140">
        <f>IF('שאלון למילוי מגיש הבקשה-חובה'!$G$33&lt;31,1,IF('שאלון למילוי מגיש הבקשה-חובה'!$G$33&lt;61,2,3))</f>
        <v>1</v>
      </c>
      <c r="E26" s="64">
        <v>4000</v>
      </c>
      <c r="F26" s="45">
        <f t="shared" si="0"/>
        <v>4000</v>
      </c>
      <c r="G26" s="296"/>
      <c r="H26" s="45">
        <f t="shared" si="1"/>
        <v>0</v>
      </c>
      <c r="I26" s="46" t="str">
        <f t="shared" si="2"/>
        <v/>
      </c>
      <c r="J26" s="297"/>
      <c r="L26" s="320"/>
      <c r="M26" s="47"/>
      <c r="N26" s="48"/>
      <c r="O26" s="49"/>
      <c r="P26" s="50"/>
      <c r="Q26" s="51"/>
      <c r="R26" s="52">
        <f t="shared" si="3"/>
        <v>0</v>
      </c>
      <c r="S26" s="53">
        <f t="shared" si="4"/>
        <v>0</v>
      </c>
      <c r="T26" s="48"/>
      <c r="U26" s="54"/>
      <c r="V26" s="33"/>
    </row>
    <row r="27" spans="1:22" x14ac:dyDescent="0.25">
      <c r="A27" s="99">
        <v>14</v>
      </c>
      <c r="B27" s="290" t="s">
        <v>305</v>
      </c>
      <c r="C27" s="55" t="s">
        <v>278</v>
      </c>
      <c r="D27" s="140">
        <f>IF('שאלון למילוי מגיש הבקשה-חובה'!$G$33&lt;31,1,IF('שאלון למילוי מגיש הבקשה-חובה'!$G$33&lt;61,2,3))</f>
        <v>1</v>
      </c>
      <c r="E27" s="64">
        <v>1500</v>
      </c>
      <c r="F27" s="45">
        <f t="shared" si="0"/>
        <v>1500</v>
      </c>
      <c r="G27" s="296"/>
      <c r="H27" s="45">
        <f t="shared" si="1"/>
        <v>0</v>
      </c>
      <c r="I27" s="46" t="str">
        <f t="shared" si="2"/>
        <v/>
      </c>
      <c r="J27" s="297"/>
      <c r="L27" s="320"/>
      <c r="M27" s="47"/>
      <c r="N27" s="48"/>
      <c r="O27" s="49"/>
      <c r="P27" s="50"/>
      <c r="Q27" s="51"/>
      <c r="R27" s="52">
        <f t="shared" si="3"/>
        <v>0</v>
      </c>
      <c r="S27" s="53">
        <f t="shared" si="4"/>
        <v>0</v>
      </c>
      <c r="T27" s="48"/>
      <c r="U27" s="54"/>
      <c r="V27" s="33"/>
    </row>
    <row r="28" spans="1:22" x14ac:dyDescent="0.25">
      <c r="A28" s="99">
        <v>15</v>
      </c>
      <c r="B28" s="290" t="s">
        <v>329</v>
      </c>
      <c r="C28" s="55"/>
      <c r="D28" s="64">
        <v>1</v>
      </c>
      <c r="E28" s="64">
        <v>3500</v>
      </c>
      <c r="F28" s="45">
        <f t="shared" si="0"/>
        <v>3500</v>
      </c>
      <c r="G28" s="296"/>
      <c r="H28" s="45">
        <f t="shared" si="1"/>
        <v>0</v>
      </c>
      <c r="I28" s="46" t="str">
        <f t="shared" si="2"/>
        <v/>
      </c>
      <c r="J28" s="297"/>
      <c r="L28" s="320"/>
      <c r="M28" s="47"/>
      <c r="N28" s="48"/>
      <c r="O28" s="49"/>
      <c r="P28" s="50"/>
      <c r="Q28" s="51"/>
      <c r="R28" s="52">
        <f t="shared" si="3"/>
        <v>0</v>
      </c>
      <c r="S28" s="53">
        <f t="shared" si="4"/>
        <v>0</v>
      </c>
      <c r="T28" s="48"/>
      <c r="U28" s="54"/>
      <c r="V28" s="33"/>
    </row>
    <row r="29" spans="1:22" x14ac:dyDescent="0.25">
      <c r="A29" s="99">
        <v>16</v>
      </c>
      <c r="B29" s="290" t="s">
        <v>308</v>
      </c>
      <c r="C29" s="55" t="s">
        <v>278</v>
      </c>
      <c r="D29" s="140">
        <f>IF('שאלון למילוי מגיש הבקשה-חובה'!$G$33&lt;31,1,IF('שאלון למילוי מגיש הבקשה-חובה'!$G$33&lt;61,2,3))</f>
        <v>1</v>
      </c>
      <c r="E29" s="64">
        <v>20000</v>
      </c>
      <c r="F29" s="45">
        <f t="shared" si="0"/>
        <v>20000</v>
      </c>
      <c r="G29" s="296"/>
      <c r="H29" s="45">
        <f t="shared" si="1"/>
        <v>0</v>
      </c>
      <c r="I29" s="46" t="str">
        <f t="shared" si="2"/>
        <v/>
      </c>
      <c r="J29" s="297"/>
      <c r="L29" s="320"/>
      <c r="M29" s="47"/>
      <c r="N29" s="48"/>
      <c r="O29" s="49"/>
      <c r="P29" s="50"/>
      <c r="Q29" s="51"/>
      <c r="R29" s="52">
        <f t="shared" si="3"/>
        <v>0</v>
      </c>
      <c r="S29" s="53">
        <f t="shared" si="4"/>
        <v>0</v>
      </c>
      <c r="T29" s="48"/>
      <c r="U29" s="54"/>
      <c r="V29" s="33"/>
    </row>
    <row r="30" spans="1:22" ht="27.6" x14ac:dyDescent="0.25">
      <c r="A30" s="99">
        <v>17</v>
      </c>
      <c r="B30" s="290" t="s">
        <v>299</v>
      </c>
      <c r="C30" s="55" t="s">
        <v>341</v>
      </c>
      <c r="D30" s="142">
        <f>ROUNDUP('שאלון למילוי מגיש הבקשה-חובה'!$G$33*7/6*1.2,0)</f>
        <v>0</v>
      </c>
      <c r="E30" s="141">
        <v>500</v>
      </c>
      <c r="F30" s="45">
        <f t="shared" si="0"/>
        <v>0</v>
      </c>
      <c r="G30" s="296"/>
      <c r="H30" s="45">
        <f t="shared" si="1"/>
        <v>0</v>
      </c>
      <c r="I30" s="46" t="str">
        <f t="shared" si="2"/>
        <v/>
      </c>
      <c r="J30" s="297"/>
      <c r="L30" s="320"/>
      <c r="M30" s="47"/>
      <c r="N30" s="48"/>
      <c r="O30" s="49"/>
      <c r="P30" s="50"/>
      <c r="Q30" s="51"/>
      <c r="R30" s="52">
        <f t="shared" si="3"/>
        <v>0</v>
      </c>
      <c r="S30" s="53">
        <f t="shared" si="4"/>
        <v>0</v>
      </c>
      <c r="T30" s="48"/>
      <c r="U30" s="54"/>
      <c r="V30" s="33"/>
    </row>
    <row r="31" spans="1:22" x14ac:dyDescent="0.25">
      <c r="A31" s="99">
        <v>18</v>
      </c>
      <c r="B31" s="290" t="s">
        <v>322</v>
      </c>
      <c r="C31" s="55" t="s">
        <v>278</v>
      </c>
      <c r="D31" s="140">
        <v>2</v>
      </c>
      <c r="E31" s="110">
        <v>4500</v>
      </c>
      <c r="F31" s="45">
        <f t="shared" si="0"/>
        <v>9000</v>
      </c>
      <c r="G31" s="296"/>
      <c r="H31" s="45">
        <f t="shared" si="1"/>
        <v>0</v>
      </c>
      <c r="I31" s="46" t="str">
        <f t="shared" si="2"/>
        <v/>
      </c>
      <c r="J31" s="297"/>
      <c r="L31" s="320"/>
      <c r="M31" s="47"/>
      <c r="N31" s="48"/>
      <c r="O31" s="49"/>
      <c r="P31" s="50"/>
      <c r="Q31" s="51"/>
      <c r="R31" s="52">
        <f t="shared" si="3"/>
        <v>0</v>
      </c>
      <c r="S31" s="53">
        <f t="shared" si="4"/>
        <v>0</v>
      </c>
      <c r="T31" s="48"/>
      <c r="U31" s="54"/>
      <c r="V31" s="33"/>
    </row>
    <row r="32" spans="1:22" s="192" customFormat="1" x14ac:dyDescent="0.25">
      <c r="A32" s="189"/>
      <c r="B32" s="164" t="s">
        <v>161</v>
      </c>
      <c r="C32" s="325"/>
      <c r="D32" s="174"/>
      <c r="E32" s="174"/>
      <c r="F32" s="191">
        <f>SUM(F14:F31)</f>
        <v>141000</v>
      </c>
      <c r="G32" s="191"/>
      <c r="H32" s="191">
        <f>SUM(H14:H31)</f>
        <v>0</v>
      </c>
      <c r="I32" s="191"/>
      <c r="J32" s="191"/>
      <c r="L32" s="193">
        <f>SUM(L14:L31)</f>
        <v>0</v>
      </c>
      <c r="M32" s="194"/>
      <c r="N32" s="195"/>
      <c r="O32" s="196"/>
      <c r="P32" s="197"/>
      <c r="Q32" s="193">
        <f>SUM(Q14:Q31)</f>
        <v>0</v>
      </c>
      <c r="R32" s="188">
        <f t="shared" si="3"/>
        <v>0</v>
      </c>
      <c r="S32" s="198">
        <f t="shared" si="4"/>
        <v>0</v>
      </c>
      <c r="T32" s="199"/>
      <c r="U32" s="200"/>
      <c r="V32" s="201"/>
    </row>
    <row r="33" spans="1:22" x14ac:dyDescent="0.25">
      <c r="A33" s="60"/>
      <c r="B33" s="105" t="s">
        <v>162</v>
      </c>
      <c r="C33" s="105"/>
      <c r="D33" s="71"/>
      <c r="E33" s="66"/>
      <c r="F33" s="66"/>
      <c r="G33" s="66"/>
      <c r="H33" s="66"/>
      <c r="I33" s="66"/>
      <c r="J33" s="66"/>
    </row>
    <row r="34" spans="1:22" ht="17.25" customHeight="1" x14ac:dyDescent="0.25">
      <c r="A34" s="1"/>
      <c r="B34" s="28"/>
      <c r="C34" s="28"/>
      <c r="D34" s="28" t="s">
        <v>154</v>
      </c>
      <c r="E34" s="21"/>
      <c r="F34" s="21"/>
      <c r="G34" s="21"/>
      <c r="H34" s="21"/>
      <c r="I34" s="21"/>
      <c r="J34" s="21"/>
    </row>
    <row r="35" spans="1:22" ht="27.75" customHeight="1" x14ac:dyDescent="0.25">
      <c r="A35" s="43">
        <v>3.2</v>
      </c>
      <c r="B35" s="34" t="s">
        <v>163</v>
      </c>
      <c r="C35" s="111"/>
      <c r="D35" s="62"/>
      <c r="E35" s="62"/>
      <c r="F35" s="97"/>
      <c r="G35" s="61" t="s">
        <v>164</v>
      </c>
      <c r="H35" s="62"/>
      <c r="I35" s="62"/>
      <c r="J35" s="97"/>
      <c r="L35" s="37" t="s">
        <v>83</v>
      </c>
      <c r="M35" s="38"/>
      <c r="N35" s="38" t="s">
        <v>84</v>
      </c>
      <c r="O35" s="38"/>
      <c r="P35" s="38"/>
      <c r="Q35" s="38"/>
      <c r="R35" s="38"/>
      <c r="S35" s="38"/>
      <c r="T35" s="38"/>
      <c r="U35" s="38"/>
      <c r="V35" s="39"/>
    </row>
    <row r="36" spans="1:22" ht="82.5" customHeight="1" x14ac:dyDescent="0.25">
      <c r="A36" s="55" t="s">
        <v>85</v>
      </c>
      <c r="B36" s="55" t="s">
        <v>86</v>
      </c>
      <c r="C36" s="55" t="s">
        <v>242</v>
      </c>
      <c r="D36" s="55" t="s">
        <v>87</v>
      </c>
      <c r="E36" s="55" t="s">
        <v>88</v>
      </c>
      <c r="F36" s="55" t="s">
        <v>89</v>
      </c>
      <c r="G36" s="55" t="s">
        <v>90</v>
      </c>
      <c r="H36" s="55" t="s">
        <v>91</v>
      </c>
      <c r="I36" s="55" t="s">
        <v>92</v>
      </c>
      <c r="J36" s="55" t="s">
        <v>93</v>
      </c>
      <c r="L36" s="40" t="s">
        <v>94</v>
      </c>
      <c r="M36" s="274" t="s">
        <v>95</v>
      </c>
      <c r="N36" s="91" t="s">
        <v>96</v>
      </c>
      <c r="O36" s="91" t="s">
        <v>97</v>
      </c>
      <c r="P36" s="91" t="s">
        <v>98</v>
      </c>
      <c r="Q36" s="90" t="s">
        <v>99</v>
      </c>
      <c r="R36" s="90" t="s">
        <v>100</v>
      </c>
      <c r="S36" s="91" t="s">
        <v>101</v>
      </c>
      <c r="T36" s="91" t="s">
        <v>102</v>
      </c>
      <c r="U36" s="41" t="s">
        <v>103</v>
      </c>
      <c r="V36" s="42" t="s">
        <v>104</v>
      </c>
    </row>
    <row r="37" spans="1:22" x14ac:dyDescent="0.25">
      <c r="A37" s="99">
        <v>1</v>
      </c>
      <c r="B37" s="290" t="s">
        <v>302</v>
      </c>
      <c r="C37" s="55"/>
      <c r="D37" s="33">
        <v>4</v>
      </c>
      <c r="E37" s="57">
        <v>15000</v>
      </c>
      <c r="F37" s="45">
        <f t="shared" ref="F37:F62" si="19">D37*E37</f>
        <v>60000</v>
      </c>
      <c r="G37" s="296"/>
      <c r="H37" s="45">
        <f t="shared" ref="H37:H62" si="20">E37*G37</f>
        <v>0</v>
      </c>
      <c r="I37" s="46" t="str">
        <f t="shared" ref="I37:I62" si="21">IF(G37&gt;D37,"נא להסביר חריגה","")</f>
        <v/>
      </c>
      <c r="J37" s="297"/>
      <c r="L37" s="320"/>
      <c r="M37" s="47"/>
      <c r="N37" s="48"/>
      <c r="O37" s="49"/>
      <c r="P37" s="50"/>
      <c r="Q37" s="51"/>
      <c r="R37" s="52">
        <f t="shared" ref="R37:R63" si="22">IF(Q37="",0,Q37-H37)</f>
        <v>0</v>
      </c>
      <c r="S37" s="53">
        <f t="shared" ref="S37:S63" si="23">IF(H37=0,0,R37/H37)</f>
        <v>0</v>
      </c>
      <c r="T37" s="48"/>
      <c r="U37" s="54"/>
      <c r="V37" s="33"/>
    </row>
    <row r="38" spans="1:22" x14ac:dyDescent="0.25">
      <c r="A38" s="99">
        <v>2</v>
      </c>
      <c r="B38" s="290" t="s">
        <v>301</v>
      </c>
      <c r="C38" s="55"/>
      <c r="D38" s="33">
        <v>2</v>
      </c>
      <c r="E38" s="57">
        <v>12000</v>
      </c>
      <c r="F38" s="45">
        <f t="shared" si="19"/>
        <v>24000</v>
      </c>
      <c r="G38" s="296"/>
      <c r="H38" s="45">
        <f t="shared" si="20"/>
        <v>0</v>
      </c>
      <c r="I38" s="46" t="str">
        <f t="shared" si="21"/>
        <v/>
      </c>
      <c r="J38" s="297"/>
      <c r="L38" s="320"/>
      <c r="M38" s="47"/>
      <c r="N38" s="48"/>
      <c r="O38" s="49"/>
      <c r="P38" s="50"/>
      <c r="Q38" s="51"/>
      <c r="R38" s="52">
        <f t="shared" si="22"/>
        <v>0</v>
      </c>
      <c r="S38" s="53">
        <f t="shared" si="23"/>
        <v>0</v>
      </c>
      <c r="T38" s="48"/>
      <c r="U38" s="54"/>
      <c r="V38" s="33"/>
    </row>
    <row r="39" spans="1:22" x14ac:dyDescent="0.25">
      <c r="A39" s="99">
        <v>3</v>
      </c>
      <c r="B39" s="290" t="s">
        <v>307</v>
      </c>
      <c r="C39" s="55"/>
      <c r="D39" s="33">
        <v>1</v>
      </c>
      <c r="E39" s="57">
        <v>10000</v>
      </c>
      <c r="F39" s="45">
        <f t="shared" si="19"/>
        <v>10000</v>
      </c>
      <c r="G39" s="296"/>
      <c r="H39" s="45">
        <f t="shared" si="20"/>
        <v>0</v>
      </c>
      <c r="I39" s="46" t="str">
        <f t="shared" si="21"/>
        <v/>
      </c>
      <c r="J39" s="297"/>
      <c r="L39" s="320"/>
      <c r="M39" s="47"/>
      <c r="N39" s="48"/>
      <c r="O39" s="49"/>
      <c r="P39" s="50"/>
      <c r="Q39" s="51"/>
      <c r="R39" s="52">
        <f t="shared" si="22"/>
        <v>0</v>
      </c>
      <c r="S39" s="53">
        <f t="shared" si="23"/>
        <v>0</v>
      </c>
      <c r="T39" s="48"/>
      <c r="U39" s="54"/>
      <c r="V39" s="33"/>
    </row>
    <row r="40" spans="1:22" x14ac:dyDescent="0.25">
      <c r="A40" s="99">
        <v>4</v>
      </c>
      <c r="B40" s="290" t="s">
        <v>327</v>
      </c>
      <c r="C40" s="55" t="s">
        <v>278</v>
      </c>
      <c r="D40" s="33">
        <v>1</v>
      </c>
      <c r="E40" s="140">
        <f>IF('שאלון למילוי מגיש הבקשה-חובה'!$G$33&lt;31,15000,IF('שאלון למילוי מגיש הבקשה-חובה'!$G$33&lt;61,20000,30000))</f>
        <v>15000</v>
      </c>
      <c r="F40" s="45">
        <f t="shared" si="19"/>
        <v>15000</v>
      </c>
      <c r="G40" s="296"/>
      <c r="H40" s="45">
        <f t="shared" si="20"/>
        <v>0</v>
      </c>
      <c r="I40" s="46" t="str">
        <f t="shared" si="21"/>
        <v/>
      </c>
      <c r="J40" s="297"/>
      <c r="L40" s="320"/>
      <c r="M40" s="47"/>
      <c r="N40" s="48"/>
      <c r="O40" s="49"/>
      <c r="P40" s="50"/>
      <c r="Q40" s="51"/>
      <c r="R40" s="52">
        <f t="shared" si="22"/>
        <v>0</v>
      </c>
      <c r="S40" s="53">
        <f t="shared" si="23"/>
        <v>0</v>
      </c>
      <c r="T40" s="48"/>
      <c r="U40" s="54"/>
      <c r="V40" s="33"/>
    </row>
    <row r="41" spans="1:22" x14ac:dyDescent="0.25">
      <c r="A41" s="99">
        <v>5</v>
      </c>
      <c r="B41" s="290" t="s">
        <v>165</v>
      </c>
      <c r="C41" s="55"/>
      <c r="D41" s="33">
        <v>1</v>
      </c>
      <c r="E41" s="57">
        <v>6000</v>
      </c>
      <c r="F41" s="45">
        <f t="shared" si="19"/>
        <v>6000</v>
      </c>
      <c r="G41" s="296"/>
      <c r="H41" s="45">
        <f t="shared" si="20"/>
        <v>0</v>
      </c>
      <c r="I41" s="46" t="str">
        <f t="shared" si="21"/>
        <v/>
      </c>
      <c r="J41" s="297"/>
      <c r="L41" s="320"/>
      <c r="M41" s="47"/>
      <c r="N41" s="48"/>
      <c r="O41" s="49"/>
      <c r="P41" s="50"/>
      <c r="Q41" s="51"/>
      <c r="R41" s="52">
        <f t="shared" si="22"/>
        <v>0</v>
      </c>
      <c r="S41" s="53">
        <f t="shared" si="23"/>
        <v>0</v>
      </c>
      <c r="T41" s="48"/>
      <c r="U41" s="54"/>
      <c r="V41" s="33"/>
    </row>
    <row r="42" spans="1:22" x14ac:dyDescent="0.25">
      <c r="A42" s="99">
        <v>6</v>
      </c>
      <c r="B42" s="290" t="s">
        <v>297</v>
      </c>
      <c r="C42" s="55"/>
      <c r="D42" s="33">
        <v>1</v>
      </c>
      <c r="E42" s="64">
        <f>IF('שאלון למילוי מגיש הבקשה-חובה'!$G$33&lt;31,8000,IF('שאלון למילוי מגיש הבקשה-חובה'!$G$33&lt;61,15000,25000))</f>
        <v>8000</v>
      </c>
      <c r="F42" s="45">
        <f t="shared" si="19"/>
        <v>8000</v>
      </c>
      <c r="G42" s="296"/>
      <c r="H42" s="45">
        <f t="shared" si="20"/>
        <v>0</v>
      </c>
      <c r="I42" s="46" t="str">
        <f t="shared" si="21"/>
        <v/>
      </c>
      <c r="J42" s="297"/>
      <c r="L42" s="320"/>
      <c r="M42" s="47"/>
      <c r="N42" s="48"/>
      <c r="O42" s="49"/>
      <c r="P42" s="50"/>
      <c r="Q42" s="51"/>
      <c r="R42" s="52">
        <f t="shared" si="22"/>
        <v>0</v>
      </c>
      <c r="S42" s="53">
        <f t="shared" si="23"/>
        <v>0</v>
      </c>
      <c r="T42" s="48"/>
      <c r="U42" s="54"/>
      <c r="V42" s="33"/>
    </row>
    <row r="43" spans="1:22" x14ac:dyDescent="0.25">
      <c r="A43" s="99">
        <v>7</v>
      </c>
      <c r="B43" s="290" t="s">
        <v>326</v>
      </c>
      <c r="C43" s="55" t="s">
        <v>278</v>
      </c>
      <c r="D43" s="33">
        <v>1</v>
      </c>
      <c r="E43" s="140">
        <f>IF('שאלון למילוי מגיש הבקשה-חובה'!$G$33&lt;31,20000,IF('שאלון למילוי מגיש הבקשה-חובה'!$G$33&lt;61,30000,40000))</f>
        <v>20000</v>
      </c>
      <c r="F43" s="45">
        <f t="shared" si="19"/>
        <v>20000</v>
      </c>
      <c r="G43" s="296"/>
      <c r="H43" s="45">
        <f t="shared" si="20"/>
        <v>0</v>
      </c>
      <c r="I43" s="46" t="str">
        <f t="shared" si="21"/>
        <v/>
      </c>
      <c r="J43" s="297"/>
      <c r="L43" s="320"/>
      <c r="M43" s="47"/>
      <c r="N43" s="48"/>
      <c r="O43" s="49"/>
      <c r="P43" s="50"/>
      <c r="Q43" s="51"/>
      <c r="R43" s="52">
        <f t="shared" si="22"/>
        <v>0</v>
      </c>
      <c r="S43" s="53">
        <f t="shared" si="23"/>
        <v>0</v>
      </c>
      <c r="T43" s="48"/>
      <c r="U43" s="54"/>
      <c r="V43" s="33"/>
    </row>
    <row r="44" spans="1:22" x14ac:dyDescent="0.25">
      <c r="A44" s="99">
        <v>8</v>
      </c>
      <c r="B44" s="347" t="s">
        <v>324</v>
      </c>
      <c r="C44" s="55" t="s">
        <v>278</v>
      </c>
      <c r="D44" s="33">
        <v>1</v>
      </c>
      <c r="E44" s="140">
        <f>IF('שאלון למילוי מגיש הבקשה-חובה'!$G$33&lt;31,12000,IF('שאלון למילוי מגיש הבקשה-חובה'!$G$33&lt;61,18000,24000))</f>
        <v>12000</v>
      </c>
      <c r="F44" s="45">
        <f t="shared" ref="F44" si="24">D44*E44</f>
        <v>12000</v>
      </c>
      <c r="G44" s="296"/>
      <c r="H44" s="45">
        <f t="shared" ref="H44" si="25">E44*G44</f>
        <v>0</v>
      </c>
      <c r="I44" s="46" t="str">
        <f t="shared" ref="I44" si="26">IF(G44&gt;D44,"נא להסביר חריגה","")</f>
        <v/>
      </c>
      <c r="J44" s="297"/>
      <c r="L44" s="320"/>
      <c r="M44" s="47"/>
      <c r="N44" s="48"/>
      <c r="O44" s="49"/>
      <c r="P44" s="50"/>
      <c r="Q44" s="51"/>
      <c r="R44" s="52">
        <f t="shared" ref="R44" si="27">IF(Q44="",0,Q44-H44)</f>
        <v>0</v>
      </c>
      <c r="S44" s="53">
        <f t="shared" ref="S44" si="28">IF(H44=0,0,R44/H44)</f>
        <v>0</v>
      </c>
      <c r="T44" s="48"/>
      <c r="U44" s="54"/>
      <c r="V44" s="33"/>
    </row>
    <row r="45" spans="1:22" x14ac:dyDescent="0.25">
      <c r="A45" s="99">
        <v>9</v>
      </c>
      <c r="B45" s="290" t="s">
        <v>303</v>
      </c>
      <c r="C45" s="55" t="s">
        <v>278</v>
      </c>
      <c r="D45" s="109">
        <v>1</v>
      </c>
      <c r="E45" s="140">
        <f>IF('שאלון למילוי מגיש הבקשה-חובה'!$G$33&lt;31,6000,IF('שאלון למילוי מגיש הבקשה-חובה'!$G$33&lt;61,9000,12000))</f>
        <v>6000</v>
      </c>
      <c r="F45" s="45">
        <f t="shared" si="19"/>
        <v>6000</v>
      </c>
      <c r="G45" s="296"/>
      <c r="H45" s="45">
        <f t="shared" si="20"/>
        <v>0</v>
      </c>
      <c r="I45" s="46" t="str">
        <f t="shared" si="21"/>
        <v/>
      </c>
      <c r="J45" s="297"/>
      <c r="L45" s="320"/>
      <c r="M45" s="47"/>
      <c r="N45" s="48"/>
      <c r="O45" s="49"/>
      <c r="P45" s="50"/>
      <c r="Q45" s="51"/>
      <c r="R45" s="52">
        <f t="shared" si="22"/>
        <v>0</v>
      </c>
      <c r="S45" s="53">
        <f t="shared" si="23"/>
        <v>0</v>
      </c>
      <c r="T45" s="48"/>
      <c r="U45" s="54"/>
      <c r="V45" s="33"/>
    </row>
    <row r="46" spans="1:22" x14ac:dyDescent="0.25">
      <c r="A46" s="99">
        <v>10</v>
      </c>
      <c r="B46" s="290" t="s">
        <v>166</v>
      </c>
      <c r="C46" s="55"/>
      <c r="D46" s="109">
        <v>1</v>
      </c>
      <c r="E46" s="57">
        <v>8000</v>
      </c>
      <c r="F46" s="45">
        <f t="shared" si="19"/>
        <v>8000</v>
      </c>
      <c r="G46" s="296"/>
      <c r="H46" s="45">
        <f t="shared" si="20"/>
        <v>0</v>
      </c>
      <c r="I46" s="46" t="str">
        <f t="shared" si="21"/>
        <v/>
      </c>
      <c r="J46" s="297"/>
      <c r="L46" s="320"/>
      <c r="M46" s="47"/>
      <c r="N46" s="48"/>
      <c r="O46" s="49"/>
      <c r="P46" s="50"/>
      <c r="Q46" s="51"/>
      <c r="R46" s="52">
        <f t="shared" si="22"/>
        <v>0</v>
      </c>
      <c r="S46" s="53">
        <f t="shared" si="23"/>
        <v>0</v>
      </c>
      <c r="T46" s="48"/>
      <c r="U46" s="54"/>
      <c r="V46" s="33"/>
    </row>
    <row r="47" spans="1:22" x14ac:dyDescent="0.25">
      <c r="A47" s="99">
        <v>11</v>
      </c>
      <c r="B47" s="290" t="s">
        <v>167</v>
      </c>
      <c r="C47" s="55"/>
      <c r="D47" s="109">
        <v>1</v>
      </c>
      <c r="E47" s="57">
        <v>10000</v>
      </c>
      <c r="F47" s="45">
        <f t="shared" si="19"/>
        <v>10000</v>
      </c>
      <c r="G47" s="296"/>
      <c r="H47" s="45">
        <f t="shared" si="20"/>
        <v>0</v>
      </c>
      <c r="I47" s="46" t="str">
        <f t="shared" si="21"/>
        <v/>
      </c>
      <c r="J47" s="297"/>
      <c r="L47" s="320"/>
      <c r="M47" s="47"/>
      <c r="N47" s="48"/>
      <c r="O47" s="49"/>
      <c r="P47" s="50"/>
      <c r="Q47" s="51"/>
      <c r="R47" s="52">
        <f t="shared" si="22"/>
        <v>0</v>
      </c>
      <c r="S47" s="53">
        <f t="shared" si="23"/>
        <v>0</v>
      </c>
      <c r="T47" s="48"/>
      <c r="U47" s="54"/>
      <c r="V47" s="33"/>
    </row>
    <row r="48" spans="1:22" x14ac:dyDescent="0.25">
      <c r="A48" s="99">
        <v>12</v>
      </c>
      <c r="B48" s="290" t="s">
        <v>340</v>
      </c>
      <c r="C48" s="55"/>
      <c r="D48" s="109">
        <v>4</v>
      </c>
      <c r="E48" s="57">
        <v>2000</v>
      </c>
      <c r="F48" s="45">
        <f t="shared" si="19"/>
        <v>8000</v>
      </c>
      <c r="G48" s="296"/>
      <c r="H48" s="45">
        <f t="shared" si="20"/>
        <v>0</v>
      </c>
      <c r="I48" s="46" t="str">
        <f t="shared" si="21"/>
        <v/>
      </c>
      <c r="J48" s="297"/>
      <c r="L48" s="320"/>
      <c r="M48" s="47"/>
      <c r="N48" s="48"/>
      <c r="O48" s="49"/>
      <c r="P48" s="50"/>
      <c r="Q48" s="51"/>
      <c r="R48" s="52">
        <f t="shared" si="22"/>
        <v>0</v>
      </c>
      <c r="S48" s="53">
        <f t="shared" si="23"/>
        <v>0</v>
      </c>
      <c r="T48" s="48"/>
      <c r="U48" s="54"/>
      <c r="V48" s="33"/>
    </row>
    <row r="49" spans="1:22" x14ac:dyDescent="0.25">
      <c r="A49" s="99">
        <v>13</v>
      </c>
      <c r="B49" s="290" t="s">
        <v>328</v>
      </c>
      <c r="C49" s="55"/>
      <c r="D49" s="109">
        <v>3</v>
      </c>
      <c r="E49" s="57">
        <v>3500</v>
      </c>
      <c r="F49" s="45">
        <f t="shared" si="19"/>
        <v>10500</v>
      </c>
      <c r="G49" s="296"/>
      <c r="H49" s="45">
        <f t="shared" si="20"/>
        <v>0</v>
      </c>
      <c r="I49" s="46" t="str">
        <f t="shared" si="21"/>
        <v/>
      </c>
      <c r="J49" s="297"/>
      <c r="L49" s="320"/>
      <c r="M49" s="47"/>
      <c r="N49" s="48"/>
      <c r="O49" s="49"/>
      <c r="P49" s="50"/>
      <c r="Q49" s="51"/>
      <c r="R49" s="52">
        <f t="shared" si="22"/>
        <v>0</v>
      </c>
      <c r="S49" s="53">
        <f t="shared" si="23"/>
        <v>0</v>
      </c>
      <c r="T49" s="48"/>
      <c r="U49" s="54"/>
      <c r="V49" s="33"/>
    </row>
    <row r="50" spans="1:22" x14ac:dyDescent="0.25">
      <c r="A50" s="99">
        <v>14</v>
      </c>
      <c r="B50" s="290" t="s">
        <v>160</v>
      </c>
      <c r="C50" s="55"/>
      <c r="D50" s="33">
        <v>1</v>
      </c>
      <c r="E50" s="64">
        <v>3000</v>
      </c>
      <c r="F50" s="45">
        <f t="shared" si="19"/>
        <v>3000</v>
      </c>
      <c r="G50" s="296"/>
      <c r="H50" s="45">
        <f t="shared" si="20"/>
        <v>0</v>
      </c>
      <c r="I50" s="46" t="str">
        <f t="shared" si="21"/>
        <v/>
      </c>
      <c r="J50" s="297"/>
      <c r="L50" s="320"/>
      <c r="M50" s="47"/>
      <c r="N50" s="48"/>
      <c r="O50" s="49"/>
      <c r="P50" s="50"/>
      <c r="Q50" s="51"/>
      <c r="R50" s="52">
        <f t="shared" si="22"/>
        <v>0</v>
      </c>
      <c r="S50" s="53">
        <f t="shared" si="23"/>
        <v>0</v>
      </c>
      <c r="T50" s="48"/>
      <c r="U50" s="54"/>
      <c r="V50" s="33"/>
    </row>
    <row r="51" spans="1:22" x14ac:dyDescent="0.25">
      <c r="A51" s="99">
        <v>15</v>
      </c>
      <c r="B51" s="290" t="s">
        <v>168</v>
      </c>
      <c r="C51" s="55"/>
      <c r="D51" s="109">
        <v>1</v>
      </c>
      <c r="E51" s="64">
        <v>35000</v>
      </c>
      <c r="F51" s="45">
        <f t="shared" si="19"/>
        <v>35000</v>
      </c>
      <c r="G51" s="296"/>
      <c r="H51" s="45">
        <f t="shared" si="20"/>
        <v>0</v>
      </c>
      <c r="I51" s="46" t="str">
        <f t="shared" si="21"/>
        <v/>
      </c>
      <c r="J51" s="297"/>
      <c r="L51" s="320"/>
      <c r="M51" s="47"/>
      <c r="N51" s="48"/>
      <c r="O51" s="49"/>
      <c r="P51" s="50"/>
      <c r="Q51" s="51"/>
      <c r="R51" s="52">
        <f t="shared" si="22"/>
        <v>0</v>
      </c>
      <c r="S51" s="53">
        <f t="shared" si="23"/>
        <v>0</v>
      </c>
      <c r="T51" s="48"/>
      <c r="U51" s="54"/>
      <c r="V51" s="33"/>
    </row>
    <row r="52" spans="1:22" x14ac:dyDescent="0.25">
      <c r="A52" s="99">
        <v>16</v>
      </c>
      <c r="B52" s="290" t="s">
        <v>169</v>
      </c>
      <c r="C52" s="55"/>
      <c r="D52" s="109">
        <v>1</v>
      </c>
      <c r="E52" s="57">
        <v>12000</v>
      </c>
      <c r="F52" s="45">
        <f t="shared" si="19"/>
        <v>12000</v>
      </c>
      <c r="G52" s="296"/>
      <c r="H52" s="45">
        <f t="shared" si="20"/>
        <v>0</v>
      </c>
      <c r="I52" s="46" t="str">
        <f t="shared" si="21"/>
        <v/>
      </c>
      <c r="J52" s="297"/>
      <c r="L52" s="320"/>
      <c r="M52" s="47"/>
      <c r="N52" s="48"/>
      <c r="O52" s="49"/>
      <c r="P52" s="50"/>
      <c r="Q52" s="51"/>
      <c r="R52" s="52">
        <f t="shared" si="22"/>
        <v>0</v>
      </c>
      <c r="S52" s="53">
        <f t="shared" si="23"/>
        <v>0</v>
      </c>
      <c r="T52" s="48"/>
      <c r="U52" s="54"/>
      <c r="V52" s="33"/>
    </row>
    <row r="53" spans="1:22" x14ac:dyDescent="0.25">
      <c r="A53" s="99">
        <v>17</v>
      </c>
      <c r="B53" s="290" t="s">
        <v>170</v>
      </c>
      <c r="C53" s="55"/>
      <c r="D53" s="109">
        <v>2</v>
      </c>
      <c r="E53" s="57">
        <v>3500</v>
      </c>
      <c r="F53" s="45">
        <f t="shared" si="19"/>
        <v>7000</v>
      </c>
      <c r="G53" s="296"/>
      <c r="H53" s="45">
        <f t="shared" si="20"/>
        <v>0</v>
      </c>
      <c r="I53" s="46" t="str">
        <f t="shared" si="21"/>
        <v/>
      </c>
      <c r="J53" s="297"/>
      <c r="L53" s="320"/>
      <c r="M53" s="47"/>
      <c r="N53" s="48"/>
      <c r="O53" s="49"/>
      <c r="P53" s="50"/>
      <c r="Q53" s="51"/>
      <c r="R53" s="52">
        <f t="shared" si="22"/>
        <v>0</v>
      </c>
      <c r="S53" s="53">
        <f t="shared" si="23"/>
        <v>0</v>
      </c>
      <c r="T53" s="48"/>
      <c r="U53" s="54"/>
      <c r="V53" s="33"/>
    </row>
    <row r="54" spans="1:22" ht="27.6" x14ac:dyDescent="0.25">
      <c r="A54" s="99">
        <v>18</v>
      </c>
      <c r="B54" s="290" t="s">
        <v>171</v>
      </c>
      <c r="C54" s="55"/>
      <c r="D54" s="109">
        <v>4</v>
      </c>
      <c r="E54" s="57">
        <v>2500</v>
      </c>
      <c r="F54" s="45">
        <f t="shared" si="19"/>
        <v>10000</v>
      </c>
      <c r="G54" s="296"/>
      <c r="H54" s="45">
        <f t="shared" si="20"/>
        <v>0</v>
      </c>
      <c r="I54" s="46" t="str">
        <f t="shared" si="21"/>
        <v/>
      </c>
      <c r="J54" s="297"/>
      <c r="L54" s="320"/>
      <c r="M54" s="47"/>
      <c r="N54" s="48"/>
      <c r="O54" s="49"/>
      <c r="P54" s="50"/>
      <c r="Q54" s="51"/>
      <c r="R54" s="52">
        <f t="shared" si="22"/>
        <v>0</v>
      </c>
      <c r="S54" s="53">
        <f t="shared" si="23"/>
        <v>0</v>
      </c>
      <c r="T54" s="48"/>
      <c r="U54" s="54"/>
      <c r="V54" s="33"/>
    </row>
    <row r="55" spans="1:22" x14ac:dyDescent="0.25">
      <c r="A55" s="99">
        <v>19</v>
      </c>
      <c r="B55" s="290" t="s">
        <v>172</v>
      </c>
      <c r="C55" s="55"/>
      <c r="D55" s="109">
        <v>4</v>
      </c>
      <c r="E55" s="57">
        <v>2000</v>
      </c>
      <c r="F55" s="45">
        <f t="shared" si="19"/>
        <v>8000</v>
      </c>
      <c r="G55" s="296"/>
      <c r="H55" s="45">
        <f t="shared" si="20"/>
        <v>0</v>
      </c>
      <c r="I55" s="46" t="str">
        <f t="shared" si="21"/>
        <v/>
      </c>
      <c r="J55" s="297"/>
      <c r="L55" s="320"/>
      <c r="M55" s="47"/>
      <c r="N55" s="48"/>
      <c r="O55" s="49"/>
      <c r="P55" s="50"/>
      <c r="Q55" s="51"/>
      <c r="R55" s="52">
        <f t="shared" si="22"/>
        <v>0</v>
      </c>
      <c r="S55" s="53">
        <f t="shared" si="23"/>
        <v>0</v>
      </c>
      <c r="T55" s="48"/>
      <c r="U55" s="54"/>
      <c r="V55" s="33"/>
    </row>
    <row r="56" spans="1:22" x14ac:dyDescent="0.25">
      <c r="A56" s="99">
        <v>20</v>
      </c>
      <c r="B56" s="322" t="s">
        <v>173</v>
      </c>
      <c r="C56" s="100"/>
      <c r="D56" s="109">
        <v>2</v>
      </c>
      <c r="E56" s="57">
        <v>1500</v>
      </c>
      <c r="F56" s="45">
        <f t="shared" si="19"/>
        <v>3000</v>
      </c>
      <c r="G56" s="296"/>
      <c r="H56" s="45">
        <f t="shared" si="20"/>
        <v>0</v>
      </c>
      <c r="I56" s="46" t="str">
        <f t="shared" si="21"/>
        <v/>
      </c>
      <c r="J56" s="297"/>
      <c r="L56" s="320"/>
      <c r="M56" s="47"/>
      <c r="N56" s="48"/>
      <c r="O56" s="49"/>
      <c r="P56" s="50"/>
      <c r="Q56" s="51"/>
      <c r="R56" s="52">
        <f t="shared" si="22"/>
        <v>0</v>
      </c>
      <c r="S56" s="53">
        <f t="shared" si="23"/>
        <v>0</v>
      </c>
      <c r="T56" s="48"/>
      <c r="U56" s="54"/>
      <c r="V56" s="33"/>
    </row>
    <row r="57" spans="1:22" x14ac:dyDescent="0.25">
      <c r="A57" s="99">
        <v>21</v>
      </c>
      <c r="B57" s="290" t="s">
        <v>305</v>
      </c>
      <c r="C57" s="55" t="s">
        <v>278</v>
      </c>
      <c r="D57" s="142">
        <f>IF('שאלון למילוי מגיש הבקשה-חובה'!$G$33&lt;31,1,IF('שאלון למילוי מגיש הבקשה-חובה'!$G$33&lt;61,2,3))</f>
        <v>1</v>
      </c>
      <c r="E57" s="64">
        <v>1500</v>
      </c>
      <c r="F57" s="45">
        <f t="shared" si="19"/>
        <v>1500</v>
      </c>
      <c r="G57" s="296"/>
      <c r="H57" s="45">
        <f t="shared" si="20"/>
        <v>0</v>
      </c>
      <c r="I57" s="46" t="str">
        <f t="shared" si="21"/>
        <v/>
      </c>
      <c r="J57" s="297"/>
      <c r="L57" s="320"/>
      <c r="M57" s="47"/>
      <c r="N57" s="48"/>
      <c r="O57" s="49"/>
      <c r="P57" s="50"/>
      <c r="Q57" s="51"/>
      <c r="R57" s="52">
        <f t="shared" si="22"/>
        <v>0</v>
      </c>
      <c r="S57" s="53">
        <f t="shared" si="23"/>
        <v>0</v>
      </c>
      <c r="T57" s="48"/>
      <c r="U57" s="54"/>
      <c r="V57" s="33"/>
    </row>
    <row r="58" spans="1:22" x14ac:dyDescent="0.25">
      <c r="A58" s="99">
        <v>22</v>
      </c>
      <c r="B58" s="290" t="s">
        <v>323</v>
      </c>
      <c r="C58" s="55"/>
      <c r="D58" s="109">
        <v>3</v>
      </c>
      <c r="E58" s="57">
        <v>500</v>
      </c>
      <c r="F58" s="45">
        <f t="shared" si="19"/>
        <v>1500</v>
      </c>
      <c r="G58" s="296"/>
      <c r="H58" s="45">
        <f t="shared" si="20"/>
        <v>0</v>
      </c>
      <c r="I58" s="46" t="str">
        <f t="shared" si="21"/>
        <v/>
      </c>
      <c r="J58" s="297"/>
      <c r="L58" s="320"/>
      <c r="M58" s="47"/>
      <c r="N58" s="48"/>
      <c r="O58" s="49"/>
      <c r="P58" s="50"/>
      <c r="Q58" s="51"/>
      <c r="R58" s="52">
        <f t="shared" si="22"/>
        <v>0</v>
      </c>
      <c r="S58" s="53">
        <f t="shared" si="23"/>
        <v>0</v>
      </c>
      <c r="T58" s="48"/>
      <c r="U58" s="54"/>
      <c r="V58" s="33"/>
    </row>
    <row r="59" spans="1:22" x14ac:dyDescent="0.25">
      <c r="A59" s="99">
        <v>23</v>
      </c>
      <c r="B59" s="290" t="s">
        <v>306</v>
      </c>
      <c r="C59" s="55" t="s">
        <v>278</v>
      </c>
      <c r="D59" s="142">
        <f>IF('שאלון למילוי מגיש הבקשה-חובה'!$G$33&lt;31,1,IF('שאלון למילוי מגיש הבקשה-חובה'!$G$33&lt;61,2,3))</f>
        <v>1</v>
      </c>
      <c r="E59" s="64">
        <v>20000</v>
      </c>
      <c r="F59" s="45">
        <f t="shared" si="19"/>
        <v>20000</v>
      </c>
      <c r="G59" s="296"/>
      <c r="H59" s="45">
        <f t="shared" si="20"/>
        <v>0</v>
      </c>
      <c r="I59" s="46" t="str">
        <f t="shared" si="21"/>
        <v/>
      </c>
      <c r="J59" s="297"/>
      <c r="L59" s="320"/>
      <c r="M59" s="47"/>
      <c r="N59" s="48"/>
      <c r="O59" s="49"/>
      <c r="P59" s="50"/>
      <c r="Q59" s="51"/>
      <c r="R59" s="52">
        <f t="shared" si="22"/>
        <v>0</v>
      </c>
      <c r="S59" s="53">
        <f t="shared" si="23"/>
        <v>0</v>
      </c>
      <c r="T59" s="48"/>
      <c r="U59" s="54"/>
      <c r="V59" s="33"/>
    </row>
    <row r="60" spans="1:22" x14ac:dyDescent="0.25">
      <c r="A60" s="99">
        <v>24</v>
      </c>
      <c r="B60" s="290" t="s">
        <v>329</v>
      </c>
      <c r="C60" s="55"/>
      <c r="D60" s="109">
        <v>2</v>
      </c>
      <c r="E60" s="57">
        <v>3500</v>
      </c>
      <c r="F60" s="45">
        <f t="shared" si="19"/>
        <v>7000</v>
      </c>
      <c r="G60" s="296"/>
      <c r="H60" s="45">
        <f t="shared" si="20"/>
        <v>0</v>
      </c>
      <c r="I60" s="46" t="str">
        <f t="shared" si="21"/>
        <v/>
      </c>
      <c r="J60" s="297"/>
      <c r="L60" s="320"/>
      <c r="M60" s="47"/>
      <c r="N60" s="48"/>
      <c r="O60" s="49"/>
      <c r="P60" s="50"/>
      <c r="Q60" s="51"/>
      <c r="R60" s="52">
        <f t="shared" si="22"/>
        <v>0</v>
      </c>
      <c r="S60" s="53">
        <f t="shared" si="23"/>
        <v>0</v>
      </c>
      <c r="T60" s="48"/>
      <c r="U60" s="54"/>
      <c r="V60" s="33"/>
    </row>
    <row r="61" spans="1:22" ht="27.6" x14ac:dyDescent="0.25">
      <c r="A61" s="99">
        <v>25</v>
      </c>
      <c r="B61" s="290" t="s">
        <v>299</v>
      </c>
      <c r="C61" s="55" t="s">
        <v>341</v>
      </c>
      <c r="D61" s="142">
        <f>ROUNDUP('שאלון למילוי מגיש הבקשה-חובה'!$G$33*7/6*1.2,0)</f>
        <v>0</v>
      </c>
      <c r="E61" s="141">
        <v>500</v>
      </c>
      <c r="F61" s="45">
        <f t="shared" si="19"/>
        <v>0</v>
      </c>
      <c r="G61" s="296"/>
      <c r="H61" s="45">
        <f t="shared" si="20"/>
        <v>0</v>
      </c>
      <c r="I61" s="46" t="str">
        <f t="shared" si="21"/>
        <v/>
      </c>
      <c r="J61" s="297"/>
      <c r="L61" s="320"/>
      <c r="M61" s="47"/>
      <c r="N61" s="48"/>
      <c r="O61" s="49"/>
      <c r="P61" s="50"/>
      <c r="Q61" s="51"/>
      <c r="R61" s="52">
        <f t="shared" si="22"/>
        <v>0</v>
      </c>
      <c r="S61" s="53">
        <f t="shared" si="23"/>
        <v>0</v>
      </c>
      <c r="T61" s="48"/>
      <c r="U61" s="54"/>
      <c r="V61" s="33"/>
    </row>
    <row r="62" spans="1:22" x14ac:dyDescent="0.25">
      <c r="A62" s="99">
        <v>26</v>
      </c>
      <c r="B62" s="290" t="s">
        <v>322</v>
      </c>
      <c r="C62" s="55" t="s">
        <v>278</v>
      </c>
      <c r="D62" s="330">
        <v>2</v>
      </c>
      <c r="E62" s="110">
        <v>4500</v>
      </c>
      <c r="F62" s="45">
        <f t="shared" si="19"/>
        <v>9000</v>
      </c>
      <c r="G62" s="296"/>
      <c r="H62" s="45">
        <f t="shared" si="20"/>
        <v>0</v>
      </c>
      <c r="I62" s="46" t="str">
        <f t="shared" si="21"/>
        <v/>
      </c>
      <c r="J62" s="297"/>
      <c r="L62" s="320"/>
      <c r="M62" s="47"/>
      <c r="N62" s="48"/>
      <c r="O62" s="49"/>
      <c r="P62" s="50"/>
      <c r="Q62" s="51"/>
      <c r="R62" s="52">
        <f t="shared" si="22"/>
        <v>0</v>
      </c>
      <c r="S62" s="53">
        <f t="shared" si="23"/>
        <v>0</v>
      </c>
      <c r="T62" s="48"/>
      <c r="U62" s="54"/>
      <c r="V62" s="33"/>
    </row>
    <row r="63" spans="1:22" s="192" customFormat="1" x14ac:dyDescent="0.25">
      <c r="A63" s="189"/>
      <c r="B63" s="323" t="s">
        <v>174</v>
      </c>
      <c r="C63" s="326"/>
      <c r="D63" s="327"/>
      <c r="E63" s="328"/>
      <c r="F63" s="191">
        <f>SUM(F37:F62)</f>
        <v>314500</v>
      </c>
      <c r="G63" s="191"/>
      <c r="H63" s="191">
        <f>SUM(H37:H62)</f>
        <v>0</v>
      </c>
      <c r="I63" s="191"/>
      <c r="J63" s="191"/>
      <c r="L63" s="193">
        <f>SUM(L37:L62)</f>
        <v>0</v>
      </c>
      <c r="M63" s="194"/>
      <c r="N63" s="195"/>
      <c r="O63" s="196"/>
      <c r="P63" s="197"/>
      <c r="Q63" s="193">
        <f>SUM(Q37:Q62)</f>
        <v>0</v>
      </c>
      <c r="R63" s="188">
        <f t="shared" si="22"/>
        <v>0</v>
      </c>
      <c r="S63" s="198">
        <f t="shared" si="23"/>
        <v>0</v>
      </c>
      <c r="T63" s="199"/>
      <c r="U63" s="200"/>
      <c r="V63" s="201"/>
    </row>
    <row r="64" spans="1:22" x14ac:dyDescent="0.25">
      <c r="A64" s="60"/>
      <c r="B64" s="105"/>
      <c r="C64" s="105"/>
      <c r="D64" s="71"/>
      <c r="E64" s="66"/>
      <c r="F64" s="66"/>
      <c r="G64" s="66"/>
      <c r="H64" s="66"/>
      <c r="I64" s="66"/>
      <c r="J64" s="66"/>
    </row>
    <row r="65" spans="1:22" x14ac:dyDescent="0.25">
      <c r="A65" s="33">
        <v>3.3</v>
      </c>
      <c r="B65" s="111" t="s">
        <v>175</v>
      </c>
      <c r="C65" s="111"/>
      <c r="D65" s="62"/>
      <c r="E65" s="62"/>
      <c r="F65" s="97"/>
      <c r="G65" s="61" t="s">
        <v>176</v>
      </c>
      <c r="H65" s="62"/>
      <c r="I65" s="62"/>
      <c r="J65" s="97"/>
      <c r="L65" s="37" t="s">
        <v>83</v>
      </c>
      <c r="M65" s="38"/>
      <c r="N65" s="38" t="s">
        <v>84</v>
      </c>
      <c r="O65" s="38"/>
      <c r="P65" s="38"/>
      <c r="Q65" s="38"/>
      <c r="R65" s="38"/>
      <c r="S65" s="38"/>
      <c r="T65" s="38"/>
      <c r="U65" s="38"/>
      <c r="V65" s="39"/>
    </row>
    <row r="66" spans="1:22" ht="82.5" customHeight="1" x14ac:dyDescent="0.25">
      <c r="A66" s="55" t="s">
        <v>85</v>
      </c>
      <c r="B66" s="55" t="s">
        <v>86</v>
      </c>
      <c r="C66" s="55"/>
      <c r="D66" s="55" t="s">
        <v>87</v>
      </c>
      <c r="E66" s="55" t="s">
        <v>88</v>
      </c>
      <c r="F66" s="55" t="s">
        <v>89</v>
      </c>
      <c r="G66" s="55" t="s">
        <v>90</v>
      </c>
      <c r="H66" s="55" t="s">
        <v>91</v>
      </c>
      <c r="I66" s="55" t="s">
        <v>92</v>
      </c>
      <c r="J66" s="55" t="s">
        <v>93</v>
      </c>
      <c r="L66" s="40" t="s">
        <v>94</v>
      </c>
      <c r="M66" s="274" t="s">
        <v>95</v>
      </c>
      <c r="N66" s="91" t="s">
        <v>96</v>
      </c>
      <c r="O66" s="91" t="s">
        <v>97</v>
      </c>
      <c r="P66" s="91" t="s">
        <v>98</v>
      </c>
      <c r="Q66" s="90" t="s">
        <v>99</v>
      </c>
      <c r="R66" s="90" t="s">
        <v>100</v>
      </c>
      <c r="S66" s="91" t="s">
        <v>101</v>
      </c>
      <c r="T66" s="91" t="s">
        <v>102</v>
      </c>
      <c r="U66" s="41" t="s">
        <v>103</v>
      </c>
      <c r="V66" s="42" t="s">
        <v>104</v>
      </c>
    </row>
    <row r="67" spans="1:22" x14ac:dyDescent="0.25">
      <c r="A67" s="99">
        <v>1</v>
      </c>
      <c r="B67" s="290" t="s">
        <v>294</v>
      </c>
      <c r="C67" s="55" t="s">
        <v>342</v>
      </c>
      <c r="D67" s="142">
        <f>ROUNDUP('שאלון למילוי מגיש הבקשה-חובה'!$G$33*7/6,0)</f>
        <v>0</v>
      </c>
      <c r="E67" s="324">
        <v>600</v>
      </c>
      <c r="F67" s="64">
        <f>D67*E67</f>
        <v>0</v>
      </c>
      <c r="G67" s="296"/>
      <c r="H67" s="45">
        <f>E67*G67</f>
        <v>0</v>
      </c>
      <c r="I67" s="46" t="str">
        <f>IF(G67&gt;D67,"נא להסביר חריגה","")</f>
        <v/>
      </c>
      <c r="J67" s="297"/>
      <c r="L67" s="320"/>
      <c r="M67" s="47"/>
      <c r="N67" s="48"/>
      <c r="O67" s="49"/>
      <c r="P67" s="50"/>
      <c r="Q67" s="51"/>
      <c r="R67" s="52">
        <f>IF(Q67="",0,Q67-H67)</f>
        <v>0</v>
      </c>
      <c r="S67" s="53">
        <f>IF(H67=0,0,R67/H67)</f>
        <v>0</v>
      </c>
      <c r="T67" s="48"/>
      <c r="U67" s="54"/>
      <c r="V67" s="33"/>
    </row>
    <row r="68" spans="1:22" x14ac:dyDescent="0.25">
      <c r="A68" s="103">
        <v>2</v>
      </c>
      <c r="B68" s="290" t="s">
        <v>247</v>
      </c>
      <c r="C68" s="55" t="s">
        <v>312</v>
      </c>
      <c r="D68" s="142">
        <f>ROUNDUP('שאלון למילוי מגיש הבקשה-חובה'!$G$33*7/6/4,0)</f>
        <v>0</v>
      </c>
      <c r="E68" s="64">
        <v>3500</v>
      </c>
      <c r="F68" s="64">
        <f>D68*E68</f>
        <v>0</v>
      </c>
      <c r="G68" s="296"/>
      <c r="H68" s="45">
        <f>E68*G68</f>
        <v>0</v>
      </c>
      <c r="I68" s="46" t="str">
        <f>IF(G68&gt;D68,"נא להסביר חריגה","")</f>
        <v/>
      </c>
      <c r="J68" s="297"/>
      <c r="L68" s="320"/>
      <c r="M68" s="47"/>
      <c r="N68" s="48"/>
      <c r="O68" s="49"/>
      <c r="P68" s="50"/>
      <c r="Q68" s="51"/>
      <c r="R68" s="52">
        <f t="shared" ref="R68:R71" si="29">IF(Q68="",0,Q68-H68)</f>
        <v>0</v>
      </c>
      <c r="S68" s="53">
        <f>IF(H68=0,0,R68/H68)</f>
        <v>0</v>
      </c>
      <c r="T68" s="48"/>
      <c r="U68" s="54"/>
      <c r="V68" s="33"/>
    </row>
    <row r="69" spans="1:22" ht="27" customHeight="1" x14ac:dyDescent="0.25">
      <c r="A69" s="103">
        <v>3</v>
      </c>
      <c r="B69" s="290" t="s">
        <v>296</v>
      </c>
      <c r="C69" s="55" t="s">
        <v>295</v>
      </c>
      <c r="D69" s="142">
        <f>ROUNDUP('שאלון למילוי מגיש הבקשה-חובה'!$G$33*7/6*1.2,0)</f>
        <v>0</v>
      </c>
      <c r="E69" s="64">
        <v>300</v>
      </c>
      <c r="F69" s="64">
        <f>D69*E69</f>
        <v>0</v>
      </c>
      <c r="G69" s="296"/>
      <c r="H69" s="45">
        <f>E69*G69</f>
        <v>0</v>
      </c>
      <c r="I69" s="46" t="str">
        <f>IF(G69&gt;D69,"נא להסביר חריגה","")</f>
        <v/>
      </c>
      <c r="J69" s="297"/>
      <c r="L69" s="320"/>
      <c r="M69" s="47"/>
      <c r="N69" s="48"/>
      <c r="O69" s="49"/>
      <c r="P69" s="50"/>
      <c r="Q69" s="51"/>
      <c r="R69" s="52">
        <f t="shared" si="29"/>
        <v>0</v>
      </c>
      <c r="S69" s="53">
        <f>IF(H69=0,0,R69/H69)</f>
        <v>0</v>
      </c>
      <c r="T69" s="48"/>
      <c r="U69" s="54"/>
      <c r="V69" s="33"/>
    </row>
    <row r="70" spans="1:22" x14ac:dyDescent="0.25">
      <c r="A70" s="103">
        <v>4</v>
      </c>
      <c r="B70" s="290" t="s">
        <v>323</v>
      </c>
      <c r="C70" s="55" t="s">
        <v>278</v>
      </c>
      <c r="D70" s="142">
        <f>IF('שאלון למילוי מגיש הבקשה-חובה'!$G$33&lt;31,1,IF('שאלון למילוי מגיש הבקשה-חובה'!$G$33&lt;61,2,3))</f>
        <v>1</v>
      </c>
      <c r="E70" s="64">
        <v>500</v>
      </c>
      <c r="F70" s="64">
        <f>D70*E70</f>
        <v>500</v>
      </c>
      <c r="G70" s="296"/>
      <c r="H70" s="45">
        <f>E70*G70</f>
        <v>0</v>
      </c>
      <c r="I70" s="46" t="str">
        <f>IF(G70&gt;D70,"נא להסביר חריגה","")</f>
        <v/>
      </c>
      <c r="J70" s="297"/>
      <c r="L70" s="320"/>
      <c r="M70" s="47"/>
      <c r="N70" s="48"/>
      <c r="O70" s="49"/>
      <c r="P70" s="50"/>
      <c r="Q70" s="51"/>
      <c r="R70" s="52">
        <f t="shared" si="29"/>
        <v>0</v>
      </c>
      <c r="S70" s="53">
        <f>IF(H70=0,0,R70/H70)</f>
        <v>0</v>
      </c>
      <c r="T70" s="48"/>
      <c r="U70" s="54"/>
      <c r="V70" s="33"/>
    </row>
    <row r="71" spans="1:22" s="192" customFormat="1" x14ac:dyDescent="0.25">
      <c r="A71" s="329"/>
      <c r="B71" s="164" t="s">
        <v>177</v>
      </c>
      <c r="C71" s="325"/>
      <c r="D71" s="174"/>
      <c r="E71" s="174"/>
      <c r="F71" s="174">
        <f>SUM(F67:F70)</f>
        <v>500</v>
      </c>
      <c r="G71" s="191"/>
      <c r="H71" s="191">
        <f>SUM(H67:H70)</f>
        <v>0</v>
      </c>
      <c r="I71" s="191"/>
      <c r="J71" s="191"/>
      <c r="L71" s="193">
        <f>SUM(L67:L70)</f>
        <v>0</v>
      </c>
      <c r="M71" s="194"/>
      <c r="N71" s="195"/>
      <c r="O71" s="196"/>
      <c r="P71" s="197"/>
      <c r="Q71" s="193">
        <f>SUM(Q67:Q70)</f>
        <v>0</v>
      </c>
      <c r="R71" s="188">
        <f t="shared" si="29"/>
        <v>0</v>
      </c>
      <c r="S71" s="198">
        <f>IF(H71=0,0,R71/H71)</f>
        <v>0</v>
      </c>
      <c r="T71" s="199"/>
      <c r="U71" s="200"/>
      <c r="V71" s="201"/>
    </row>
    <row r="72" spans="1:22" x14ac:dyDescent="0.25">
      <c r="A72" s="60"/>
      <c r="B72" s="65"/>
      <c r="C72" s="65"/>
      <c r="D72" s="71"/>
      <c r="E72" s="71"/>
      <c r="F72" s="71"/>
      <c r="G72" s="67"/>
      <c r="H72" s="67"/>
      <c r="I72" s="67"/>
      <c r="J72" s="67"/>
    </row>
    <row r="73" spans="1:22" x14ac:dyDescent="0.25">
      <c r="A73" s="104" t="s">
        <v>114</v>
      </c>
      <c r="B73" s="105" t="str">
        <f>B11</f>
        <v>קטגוריה  ג' - ציוד מטבח וחדר אוכל</v>
      </c>
      <c r="C73" s="105"/>
      <c r="D73" s="71"/>
      <c r="E73" s="66"/>
      <c r="F73" s="66"/>
      <c r="G73" s="66"/>
      <c r="H73" s="66"/>
      <c r="I73" s="66"/>
      <c r="J73" s="66"/>
    </row>
    <row r="74" spans="1:22" ht="82.5" customHeight="1" x14ac:dyDescent="0.25">
      <c r="A74" s="61"/>
      <c r="B74" s="83" t="str">
        <f>B11</f>
        <v>קטגוריה  ג' - ציוד מטבח וחדר אוכל</v>
      </c>
      <c r="C74" s="83"/>
      <c r="D74" s="84"/>
      <c r="E74" s="108"/>
      <c r="F74" s="106" t="s">
        <v>178</v>
      </c>
      <c r="G74" s="89"/>
      <c r="H74" s="112" t="s">
        <v>94</v>
      </c>
      <c r="I74" s="113"/>
      <c r="J74" s="114"/>
      <c r="L74" s="55" t="str">
        <f>L$13</f>
        <v>צפי עלות רכישה כולל מע"מ</v>
      </c>
      <c r="M74" s="88"/>
      <c r="N74" s="89"/>
      <c r="O74" s="89"/>
      <c r="P74" s="89"/>
      <c r="Q74" s="90" t="s">
        <v>99</v>
      </c>
      <c r="R74" s="90" t="s">
        <v>115</v>
      </c>
      <c r="S74" s="91" t="s">
        <v>101</v>
      </c>
      <c r="T74" s="83"/>
      <c r="U74" s="92"/>
      <c r="V74" s="36"/>
    </row>
    <row r="75" spans="1:22" s="192" customFormat="1" x14ac:dyDescent="0.25">
      <c r="A75" s="236" t="s">
        <v>223</v>
      </c>
      <c r="B75" s="208" t="s">
        <v>316</v>
      </c>
      <c r="C75" s="208"/>
      <c r="D75" s="209"/>
      <c r="E75" s="210"/>
      <c r="F75" s="191">
        <f>F32+F71</f>
        <v>141500</v>
      </c>
      <c r="G75" s="211"/>
      <c r="H75" s="191">
        <f>IF(H32&gt;0,H32+H71,0)</f>
        <v>0</v>
      </c>
      <c r="I75" s="211"/>
      <c r="J75" s="210"/>
      <c r="L75" s="178">
        <f>L32+L71</f>
        <v>0</v>
      </c>
      <c r="M75" s="175"/>
      <c r="N75" s="179"/>
      <c r="O75" s="180"/>
      <c r="P75" s="181"/>
      <c r="Q75" s="178">
        <f>Q32+Q71</f>
        <v>0</v>
      </c>
      <c r="R75" s="178">
        <f>R32+R71</f>
        <v>0</v>
      </c>
      <c r="S75" s="182">
        <f>IF(H75=0,0,R75/H75)</f>
        <v>0</v>
      </c>
      <c r="T75" s="183"/>
      <c r="U75" s="184"/>
      <c r="V75" s="185"/>
    </row>
    <row r="76" spans="1:22" s="192" customFormat="1" x14ac:dyDescent="0.25">
      <c r="A76" s="236" t="s">
        <v>223</v>
      </c>
      <c r="B76" s="208" t="s">
        <v>317</v>
      </c>
      <c r="C76" s="208"/>
      <c r="D76" s="204"/>
      <c r="E76" s="210"/>
      <c r="F76" s="191">
        <f>F63+F71</f>
        <v>315000</v>
      </c>
      <c r="G76" s="211"/>
      <c r="H76" s="191">
        <f>IF(H63&gt;0,H63+H71,0)</f>
        <v>0</v>
      </c>
      <c r="I76" s="211"/>
      <c r="J76" s="210"/>
      <c r="L76" s="178">
        <f>L63+L71</f>
        <v>0</v>
      </c>
      <c r="M76" s="175"/>
      <c r="N76" s="179"/>
      <c r="O76" s="180"/>
      <c r="P76" s="181"/>
      <c r="Q76" s="178">
        <f>Q63+Q71</f>
        <v>0</v>
      </c>
      <c r="R76" s="178">
        <f>R63+R71</f>
        <v>0</v>
      </c>
      <c r="S76" s="182">
        <f>IF(H76=0,0,R76/H76)</f>
        <v>0</v>
      </c>
      <c r="T76" s="183"/>
      <c r="U76" s="184"/>
      <c r="V76" s="185"/>
    </row>
    <row r="77" spans="1:22" x14ac:dyDescent="0.25">
      <c r="H77" s="212" t="str">
        <f>IF(OR(H75=0,H76=0),"",FALSE())</f>
        <v/>
      </c>
    </row>
    <row r="78" spans="1:22" x14ac:dyDescent="0.25">
      <c r="H78" s="351" t="str">
        <f>IF(H77=FALSE(),"נא לבחור ציוד מטבח מסוג אחד בלבד מחמם או מבשל","")</f>
        <v/>
      </c>
    </row>
  </sheetData>
  <sheetProtection algorithmName="SHA-512" hashValue="xpGgkeYApYK66TatzDf2M1uLTVHZ6pSdel7AmHZIPYId5RaBcHwNHmJ/Ofn35/S+UraTkOqKErHm03Me2ILYoQ==" saltValue="gwMZVFZh70dyyMF4wShTrw==" spinCount="100000" sheet="1" formatCells="0" formatColumns="0" formatRows="0"/>
  <conditionalFormatting sqref="H77">
    <cfRule type="cellIs" dxfId="28" priority="28" operator="equal">
      <formula>0</formula>
    </cfRule>
  </conditionalFormatting>
  <conditionalFormatting sqref="I14:I31 I37:I62">
    <cfRule type="cellIs" dxfId="27" priority="11" operator="equal">
      <formula>"נא להסביר חריגה"</formula>
    </cfRule>
    <cfRule type="cellIs" dxfId="26" priority="12" operator="equal">
      <formula>"נא להסביר חריגה"</formula>
    </cfRule>
  </conditionalFormatting>
  <conditionalFormatting sqref="I67:I70">
    <cfRule type="cellIs" dxfId="25" priority="5" operator="equal">
      <formula>"נא להסביר חריגה"</formula>
    </cfRule>
    <cfRule type="cellIs" dxfId="24" priority="6" operator="equal">
      <formula>"נא להסביר חריגה"</formula>
    </cfRule>
    <cfRule type="containsText" dxfId="23" priority="7" operator="containsText" text="נא להסביר חריגה כאן">
      <formula>NOT(ISERROR(SEARCH("נא להסביר חריגה כאן",I67)))</formula>
    </cfRule>
  </conditionalFormatting>
  <conditionalFormatting sqref="I14:J31 I37:J62 L37:L62">
    <cfRule type="containsText" dxfId="22" priority="13" operator="containsText" text="נא להסביר חריגה כאן">
      <formula>NOT(ISERROR(SEARCH("נא להסביר חריגה כאן",I14)))</formula>
    </cfRule>
  </conditionalFormatting>
  <conditionalFormatting sqref="J67:J70">
    <cfRule type="containsText" dxfId="21" priority="1" operator="containsText" text="נא להסביר חריגה כאן">
      <formula>NOT(ISERROR(SEARCH("נא להסביר חריגה כאן",J67)))</formula>
    </cfRule>
  </conditionalFormatting>
  <conditionalFormatting sqref="L14:L31">
    <cfRule type="containsText" dxfId="20" priority="24" operator="containsText" text="נא להסביר חריגה כאן">
      <formula>NOT(ISERROR(SEARCH("נא להסביר חריגה כאן",L14)))</formula>
    </cfRule>
  </conditionalFormatting>
  <conditionalFormatting sqref="L67:L70">
    <cfRule type="containsText" dxfId="19" priority="3" operator="containsText" text="נא להסביר חריגה כאן">
      <formula>NOT(ISERROR(SEARCH("נא להסביר חריגה כאן",L67)))</formula>
    </cfRule>
  </conditionalFormatting>
  <conditionalFormatting sqref="R14:S32 R37:S63">
    <cfRule type="cellIs" dxfId="18" priority="22" operator="greaterThan">
      <formula>0</formula>
    </cfRule>
  </conditionalFormatting>
  <conditionalFormatting sqref="R67:S71">
    <cfRule type="cellIs" dxfId="17" priority="16" operator="greaterThan">
      <formula>0</formula>
    </cfRule>
  </conditionalFormatting>
  <conditionalFormatting sqref="S75:T76">
    <cfRule type="cellIs" dxfId="16" priority="15" operator="greaterThan">
      <formula>0</formula>
    </cfRule>
  </conditionalFormatting>
  <pageMargins left="0.70833333333333304" right="1.2993055555555599" top="0.74861111111111101" bottom="0.74791666666666701" header="0.31527777777777799" footer="0.511811023622047"/>
  <pageSetup scale="80" orientation="landscape" horizontalDpi="300" verticalDpi="300"/>
  <headerFooter>
    <oddHeader>&amp;C&amp;"David,Regular"&amp;16 קרנות הביטוח הלאומי_x005F_x000a_הקרן לפיתוח שרותים לנכים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42"/>
  <sheetViews>
    <sheetView rightToLeft="1" zoomScale="80" zoomScaleNormal="80" workbookViewId="0">
      <selection activeCell="G12" sqref="G12"/>
    </sheetView>
  </sheetViews>
  <sheetFormatPr defaultColWidth="8.6640625" defaultRowHeight="13.8" outlineLevelRow="2" outlineLevelCol="1" x14ac:dyDescent="0.25"/>
  <cols>
    <col min="1" max="1" width="4" customWidth="1"/>
    <col min="2" max="2" width="25.6640625" customWidth="1"/>
    <col min="3" max="3" width="37.21875" customWidth="1"/>
    <col min="5" max="6" width="9.5546875" bestFit="1" customWidth="1"/>
    <col min="9" max="9" width="17" customWidth="1"/>
    <col min="10" max="10" width="13.77734375" customWidth="1"/>
    <col min="11" max="11" width="3.77734375" customWidth="1"/>
    <col min="12" max="12" width="10.44140625" hidden="1" customWidth="1" outlineLevel="1"/>
    <col min="13" max="13" width="8.6640625" hidden="1" customWidth="1" outlineLevel="1"/>
    <col min="14" max="14" width="14.44140625" hidden="1" customWidth="1" outlineLevel="1"/>
    <col min="15" max="16" width="8.6640625" hidden="1" customWidth="1" outlineLevel="1"/>
    <col min="17" max="17" width="12.109375" hidden="1" customWidth="1" outlineLevel="1"/>
    <col min="18" max="18" width="19.21875" hidden="1" customWidth="1" outlineLevel="1"/>
    <col min="19" max="22" width="8.6640625" hidden="1" customWidth="1" outlineLevel="1"/>
    <col min="23" max="23" width="8.6640625" collapsed="1"/>
  </cols>
  <sheetData>
    <row r="1" spans="1:22" x14ac:dyDescent="0.25">
      <c r="A1" s="192"/>
      <c r="B1" s="345" t="str">
        <f>פתיח!$B$3&amp;": גירסת "&amp;פתיח!$E$4</f>
        <v>תקן ציוד כללי למרכזי יום טיפוליים ולמסגרות מזדקנים לאנשים עם מוגבלות: גירסת 2 בספטמבר 2026</v>
      </c>
      <c r="C1" s="6"/>
      <c r="D1" s="192"/>
      <c r="E1" s="192"/>
      <c r="F1" s="192"/>
    </row>
    <row r="2" spans="1:22" ht="15" customHeight="1" x14ac:dyDescent="0.3">
      <c r="A2" s="3"/>
      <c r="B2" s="94" t="str">
        <f>'שאלון למילוי מגיש הבקשה-חובה'!$C$7</f>
        <v>שם הגוף המבקש:</v>
      </c>
      <c r="C2" s="94"/>
      <c r="D2" s="344">
        <f>'שאלון למילוי מגיש הבקשה-חובה'!$G$7</f>
        <v>0</v>
      </c>
      <c r="E2" s="28"/>
      <c r="F2" s="28"/>
    </row>
    <row r="3" spans="1:22" ht="15" customHeight="1" x14ac:dyDescent="0.3">
      <c r="A3" s="3"/>
      <c r="B3" s="94" t="str">
        <f>'שאלון למילוי מגיש הבקשה-חובה'!$C$18</f>
        <v>שם המסגרת:</v>
      </c>
      <c r="C3" s="94"/>
      <c r="D3" s="344">
        <f>'שאלון למילוי מגיש הבקשה-חובה'!$G$18</f>
        <v>0</v>
      </c>
      <c r="E3" s="28"/>
      <c r="F3" s="28"/>
    </row>
    <row r="4" spans="1:22" ht="15" customHeight="1" x14ac:dyDescent="0.3">
      <c r="B4" s="94" t="str">
        <f>'שאלון למילוי מגיש הבקשה-חובה'!$C$33</f>
        <v>מספר האנשים שעבורם מיועד הפרויקט:</v>
      </c>
      <c r="C4" s="94"/>
      <c r="D4" s="94">
        <f>'שאלון למילוי מגיש הבקשה-חובה'!$G$33</f>
        <v>0</v>
      </c>
    </row>
    <row r="5" spans="1:22" ht="15" customHeight="1" x14ac:dyDescent="0.3">
      <c r="B5" s="94" t="str">
        <f>'שאלון למילוי מגיש הבקשה-חובה'!$C$35</f>
        <v>מספר חדרי פעילות:</v>
      </c>
      <c r="C5" s="94"/>
      <c r="D5" s="94">
        <f>'שאלון למילוי מגיש הבקשה-חובה'!$G$35</f>
        <v>0</v>
      </c>
    </row>
    <row r="6" spans="1:22" ht="15.6" x14ac:dyDescent="0.3">
      <c r="B6" s="115" t="s">
        <v>179</v>
      </c>
      <c r="C6" s="94"/>
    </row>
    <row r="7" spans="1:22" x14ac:dyDescent="0.25">
      <c r="B7" s="348" t="s">
        <v>333</v>
      </c>
      <c r="C7" s="2"/>
    </row>
    <row r="8" spans="1:22" x14ac:dyDescent="0.25">
      <c r="B8" s="348" t="s">
        <v>334</v>
      </c>
      <c r="C8" s="2"/>
    </row>
    <row r="9" spans="1:22" x14ac:dyDescent="0.25">
      <c r="B9" s="238" t="s">
        <v>338</v>
      </c>
      <c r="C9" s="2"/>
    </row>
    <row r="10" spans="1:22" ht="18" customHeight="1" x14ac:dyDescent="0.25">
      <c r="A10" s="99">
        <v>4</v>
      </c>
      <c r="B10" s="34" t="s">
        <v>117</v>
      </c>
      <c r="C10" s="111"/>
      <c r="D10" s="62"/>
      <c r="E10" s="62"/>
      <c r="F10" s="97"/>
      <c r="G10" s="61" t="s">
        <v>118</v>
      </c>
      <c r="H10" s="62"/>
      <c r="I10" s="62"/>
      <c r="J10" s="97"/>
      <c r="L10" s="37" t="s">
        <v>83</v>
      </c>
      <c r="M10" s="38"/>
      <c r="N10" s="38" t="s">
        <v>84</v>
      </c>
      <c r="O10" s="38"/>
      <c r="P10" s="38"/>
      <c r="Q10" s="38"/>
      <c r="R10" s="38"/>
      <c r="S10" s="38"/>
      <c r="T10" s="38"/>
      <c r="U10" s="38"/>
      <c r="V10" s="39"/>
    </row>
    <row r="11" spans="1:22" ht="55.2" x14ac:dyDescent="0.25">
      <c r="A11" s="275" t="s">
        <v>119</v>
      </c>
      <c r="B11" s="55" t="s">
        <v>86</v>
      </c>
      <c r="C11" s="55"/>
      <c r="D11" s="55" t="s">
        <v>120</v>
      </c>
      <c r="E11" s="55" t="s">
        <v>121</v>
      </c>
      <c r="F11" s="55" t="s">
        <v>122</v>
      </c>
      <c r="G11" s="55" t="s">
        <v>90</v>
      </c>
      <c r="H11" s="55" t="s">
        <v>123</v>
      </c>
      <c r="I11" s="55" t="s">
        <v>92</v>
      </c>
      <c r="J11" s="55" t="s">
        <v>180</v>
      </c>
      <c r="L11" s="40" t="s">
        <v>94</v>
      </c>
      <c r="M11" s="274" t="s">
        <v>95</v>
      </c>
      <c r="N11" s="91" t="s">
        <v>96</v>
      </c>
      <c r="O11" s="91" t="s">
        <v>97</v>
      </c>
      <c r="P11" s="91" t="s">
        <v>98</v>
      </c>
      <c r="Q11" s="90" t="s">
        <v>99</v>
      </c>
      <c r="R11" s="90" t="s">
        <v>100</v>
      </c>
      <c r="S11" s="91" t="s">
        <v>101</v>
      </c>
      <c r="T11" s="91" t="s">
        <v>102</v>
      </c>
      <c r="U11" s="41" t="s">
        <v>103</v>
      </c>
      <c r="V11" s="42" t="s">
        <v>104</v>
      </c>
    </row>
    <row r="12" spans="1:22" ht="27.6" x14ac:dyDescent="0.25">
      <c r="A12" s="99">
        <v>4.0999999999999996</v>
      </c>
      <c r="B12" s="290" t="s">
        <v>321</v>
      </c>
      <c r="C12" s="55" t="s">
        <v>124</v>
      </c>
      <c r="D12" s="140">
        <f>IF('שאלון למילוי מגיש הבקשה-חובה'!$G$33&lt;31,1,IF('שאלון למילוי מגיש הבקשה-חובה'!$G$33&lt;61,2,3))</f>
        <v>1</v>
      </c>
      <c r="E12" s="64">
        <v>40000</v>
      </c>
      <c r="F12" s="141">
        <f>D12*E12</f>
        <v>40000</v>
      </c>
      <c r="G12" s="296"/>
      <c r="H12" s="45">
        <f>E12*G12</f>
        <v>0</v>
      </c>
      <c r="I12" s="46" t="str">
        <f>IF(G12&gt;D12,"נא להסביר חריגה","")</f>
        <v/>
      </c>
      <c r="J12" s="318"/>
      <c r="L12" s="320"/>
      <c r="M12" s="47"/>
      <c r="N12" s="48"/>
      <c r="O12" s="49"/>
      <c r="P12" s="50"/>
      <c r="Q12" s="51"/>
      <c r="R12" s="52"/>
      <c r="S12" s="53"/>
      <c r="T12" s="48"/>
      <c r="U12" s="54"/>
      <c r="V12" s="33"/>
    </row>
    <row r="13" spans="1:22" hidden="1" outlineLevel="1" x14ac:dyDescent="0.25">
      <c r="A13" s="116"/>
      <c r="B13" s="117"/>
      <c r="C13" s="117"/>
      <c r="D13" s="117"/>
      <c r="F13" s="117"/>
      <c r="G13" s="117"/>
      <c r="H13" s="117"/>
      <c r="I13" s="117"/>
      <c r="J13" s="118"/>
      <c r="L13" s="320"/>
      <c r="M13" s="47"/>
      <c r="N13" s="48"/>
      <c r="O13" s="49"/>
      <c r="P13" s="50"/>
      <c r="Q13" s="51"/>
      <c r="R13" s="52"/>
      <c r="S13" s="53"/>
      <c r="T13" s="48"/>
      <c r="U13" s="54"/>
      <c r="V13" s="33"/>
    </row>
    <row r="14" spans="1:22" hidden="1" outlineLevel="1" x14ac:dyDescent="0.25">
      <c r="A14" s="119"/>
      <c r="J14" s="120"/>
      <c r="L14" s="320"/>
      <c r="M14" s="47"/>
      <c r="N14" s="48"/>
      <c r="O14" s="49"/>
      <c r="P14" s="50"/>
      <c r="Q14" s="51"/>
      <c r="R14" s="52"/>
      <c r="S14" s="53"/>
      <c r="T14" s="48"/>
      <c r="U14" s="54"/>
      <c r="V14" s="33"/>
    </row>
    <row r="15" spans="1:22" hidden="1" outlineLevel="1" x14ac:dyDescent="0.25">
      <c r="A15" s="119"/>
      <c r="J15" s="120"/>
      <c r="L15" s="320"/>
      <c r="M15" s="47"/>
      <c r="N15" s="48"/>
      <c r="O15" s="49"/>
      <c r="P15" s="50"/>
      <c r="Q15" s="51"/>
      <c r="R15" s="52"/>
      <c r="S15" s="53"/>
      <c r="T15" s="48"/>
      <c r="U15" s="54"/>
      <c r="V15" s="33"/>
    </row>
    <row r="16" spans="1:22" hidden="1" outlineLevel="1" x14ac:dyDescent="0.25">
      <c r="A16" s="119"/>
      <c r="J16" s="120"/>
      <c r="L16" s="320"/>
      <c r="M16" s="47"/>
      <c r="N16" s="48"/>
      <c r="O16" s="49"/>
      <c r="P16" s="50"/>
      <c r="Q16" s="51"/>
      <c r="R16" s="52"/>
      <c r="S16" s="53"/>
      <c r="T16" s="48"/>
      <c r="U16" s="54"/>
      <c r="V16" s="33"/>
    </row>
    <row r="17" spans="1:22" hidden="1" outlineLevel="1" x14ac:dyDescent="0.25">
      <c r="A17" s="119"/>
      <c r="J17" s="120"/>
      <c r="L17" s="320"/>
      <c r="M17" s="47"/>
      <c r="N17" s="48"/>
      <c r="O17" s="49"/>
      <c r="P17" s="50"/>
      <c r="Q17" s="51"/>
      <c r="R17" s="52"/>
      <c r="S17" s="53"/>
      <c r="T17" s="48"/>
      <c r="U17" s="54"/>
      <c r="V17" s="33"/>
    </row>
    <row r="18" spans="1:22" hidden="1" outlineLevel="1" x14ac:dyDescent="0.25">
      <c r="A18" s="119"/>
      <c r="J18" s="120"/>
      <c r="L18" s="320"/>
      <c r="M18" s="47"/>
      <c r="N18" s="48"/>
      <c r="O18" s="49"/>
      <c r="P18" s="50"/>
      <c r="Q18" s="51"/>
      <c r="R18" s="52"/>
      <c r="S18" s="53"/>
      <c r="T18" s="48"/>
      <c r="U18" s="54"/>
      <c r="V18" s="33"/>
    </row>
    <row r="19" spans="1:22" hidden="1" outlineLevel="1" x14ac:dyDescent="0.25">
      <c r="A19" s="119"/>
      <c r="J19" s="120"/>
      <c r="L19" s="320"/>
      <c r="M19" s="47"/>
      <c r="N19" s="48"/>
      <c r="O19" s="49"/>
      <c r="P19" s="50"/>
      <c r="Q19" s="51"/>
      <c r="R19" s="52"/>
      <c r="S19" s="53"/>
      <c r="T19" s="48"/>
      <c r="U19" s="54"/>
      <c r="V19" s="33"/>
    </row>
    <row r="20" spans="1:22" hidden="1" outlineLevel="1" x14ac:dyDescent="0.25">
      <c r="A20" s="119"/>
      <c r="J20" s="120"/>
      <c r="L20" s="320"/>
      <c r="M20" s="47"/>
      <c r="N20" s="48"/>
      <c r="O20" s="49"/>
      <c r="P20" s="50"/>
      <c r="Q20" s="51"/>
      <c r="R20" s="52"/>
      <c r="S20" s="53"/>
      <c r="T20" s="48"/>
      <c r="U20" s="54"/>
      <c r="V20" s="33"/>
    </row>
    <row r="21" spans="1:22" hidden="1" outlineLevel="1" x14ac:dyDescent="0.25">
      <c r="A21" s="119"/>
      <c r="J21" s="120"/>
      <c r="L21" s="320"/>
      <c r="M21" s="47"/>
      <c r="N21" s="48"/>
      <c r="O21" s="49"/>
      <c r="P21" s="50"/>
      <c r="Q21" s="51"/>
      <c r="R21" s="52"/>
      <c r="S21" s="53"/>
      <c r="T21" s="48"/>
      <c r="U21" s="54"/>
      <c r="V21" s="33"/>
    </row>
    <row r="22" spans="1:22" hidden="1" outlineLevel="1" x14ac:dyDescent="0.25">
      <c r="A22" s="119"/>
      <c r="J22" s="120"/>
      <c r="L22" s="320"/>
      <c r="M22" s="47"/>
      <c r="N22" s="48"/>
      <c r="O22" s="49"/>
      <c r="P22" s="50"/>
      <c r="Q22" s="51"/>
      <c r="R22" s="52"/>
      <c r="S22" s="53"/>
      <c r="T22" s="48"/>
      <c r="U22" s="54"/>
      <c r="V22" s="33"/>
    </row>
    <row r="23" spans="1:22" ht="17.25" hidden="1" customHeight="1" outlineLevel="1" x14ac:dyDescent="0.25">
      <c r="A23" s="121"/>
      <c r="B23" s="122"/>
      <c r="C23" s="122"/>
      <c r="D23" s="122"/>
      <c r="E23" s="122"/>
      <c r="F23" s="122"/>
      <c r="G23" s="122"/>
      <c r="H23" s="122"/>
      <c r="I23" s="122"/>
      <c r="J23" s="123"/>
      <c r="L23" s="148">
        <f>SUM(L12:L22)</f>
        <v>0</v>
      </c>
      <c r="M23" s="152"/>
      <c r="N23" s="153"/>
      <c r="O23" s="154"/>
      <c r="P23" s="155"/>
      <c r="Q23" s="148">
        <f>SUM(Q12:Q22)</f>
        <v>0</v>
      </c>
      <c r="R23" s="157">
        <f>Q23-H12</f>
        <v>0</v>
      </c>
      <c r="S23" s="158" t="str">
        <f>IF(H12=0,"",R23/H12)</f>
        <v/>
      </c>
      <c r="T23" s="159"/>
      <c r="U23" s="160"/>
      <c r="V23" s="161"/>
    </row>
    <row r="24" spans="1:22" ht="41.4" collapsed="1" x14ac:dyDescent="0.25">
      <c r="A24" s="99">
        <v>4.2</v>
      </c>
      <c r="B24" s="290" t="s">
        <v>321</v>
      </c>
      <c r="C24" s="55" t="s">
        <v>268</v>
      </c>
      <c r="D24" s="140">
        <f>IF('שאלון למילוי מגיש הבקשה-חובה'!$G$33&lt;31,1,IF('שאלון למילוי מגיש הבקשה-חובה'!$G$33&lt;61,2,3))</f>
        <v>1</v>
      </c>
      <c r="E24" s="64">
        <v>25000</v>
      </c>
      <c r="F24" s="64">
        <f>D24*E24</f>
        <v>25000</v>
      </c>
      <c r="G24" s="296"/>
      <c r="H24" s="45">
        <f>E24*G24</f>
        <v>0</v>
      </c>
      <c r="I24" s="46" t="str">
        <f>IF(G24&gt;D24,"נא להסביר חריגה","")</f>
        <v/>
      </c>
      <c r="J24" s="318"/>
      <c r="L24" s="320"/>
      <c r="M24" s="47"/>
      <c r="N24" s="48"/>
      <c r="O24" s="49"/>
      <c r="P24" s="50"/>
      <c r="Q24" s="51"/>
      <c r="R24" s="52"/>
      <c r="S24" s="53"/>
      <c r="T24" s="48"/>
      <c r="U24" s="54"/>
      <c r="V24" s="33"/>
    </row>
    <row r="25" spans="1:22" hidden="1" outlineLevel="2" x14ac:dyDescent="0.25">
      <c r="A25" s="116"/>
      <c r="B25" s="117"/>
      <c r="C25" s="117"/>
      <c r="D25" s="117"/>
      <c r="F25" s="117"/>
      <c r="G25" s="117"/>
      <c r="H25" s="117"/>
      <c r="I25" s="117"/>
      <c r="J25" s="118"/>
      <c r="L25" s="320"/>
      <c r="M25" s="47"/>
      <c r="N25" s="48"/>
      <c r="O25" s="49"/>
      <c r="P25" s="50"/>
      <c r="Q25" s="51"/>
      <c r="R25" s="52"/>
      <c r="S25" s="53"/>
      <c r="T25" s="48"/>
      <c r="U25" s="54"/>
      <c r="V25" s="33"/>
    </row>
    <row r="26" spans="1:22" hidden="1" outlineLevel="2" x14ac:dyDescent="0.25">
      <c r="A26" s="119"/>
      <c r="J26" s="120"/>
      <c r="L26" s="320"/>
      <c r="M26" s="47"/>
      <c r="N26" s="48"/>
      <c r="O26" s="49"/>
      <c r="P26" s="50"/>
      <c r="Q26" s="51"/>
      <c r="R26" s="52"/>
      <c r="S26" s="53"/>
      <c r="T26" s="48"/>
      <c r="U26" s="54"/>
      <c r="V26" s="33"/>
    </row>
    <row r="27" spans="1:22" hidden="1" outlineLevel="2" x14ac:dyDescent="0.25">
      <c r="A27" s="119"/>
      <c r="J27" s="120"/>
      <c r="L27" s="320"/>
      <c r="M27" s="47"/>
      <c r="N27" s="48"/>
      <c r="O27" s="49"/>
      <c r="P27" s="50"/>
      <c r="Q27" s="51"/>
      <c r="R27" s="52"/>
      <c r="S27" s="53"/>
      <c r="T27" s="48"/>
      <c r="U27" s="54"/>
      <c r="V27" s="33"/>
    </row>
    <row r="28" spans="1:22" hidden="1" outlineLevel="2" x14ac:dyDescent="0.25">
      <c r="A28" s="119"/>
      <c r="J28" s="120"/>
      <c r="L28" s="320"/>
      <c r="M28" s="47"/>
      <c r="N28" s="48"/>
      <c r="O28" s="49"/>
      <c r="P28" s="50"/>
      <c r="Q28" s="51"/>
      <c r="R28" s="52"/>
      <c r="S28" s="53"/>
      <c r="T28" s="48"/>
      <c r="U28" s="54"/>
      <c r="V28" s="33"/>
    </row>
    <row r="29" spans="1:22" hidden="1" outlineLevel="2" x14ac:dyDescent="0.25">
      <c r="A29" s="119"/>
      <c r="J29" s="120"/>
      <c r="L29" s="320"/>
      <c r="M29" s="47"/>
      <c r="N29" s="48"/>
      <c r="O29" s="49"/>
      <c r="P29" s="50"/>
      <c r="Q29" s="51"/>
      <c r="R29" s="52"/>
      <c r="S29" s="53"/>
      <c r="T29" s="48"/>
      <c r="U29" s="54"/>
      <c r="V29" s="33"/>
    </row>
    <row r="30" spans="1:22" hidden="1" outlineLevel="2" x14ac:dyDescent="0.25">
      <c r="A30" s="119"/>
      <c r="J30" s="120"/>
      <c r="L30" s="320"/>
      <c r="M30" s="47"/>
      <c r="N30" s="48"/>
      <c r="O30" s="49"/>
      <c r="P30" s="50"/>
      <c r="Q30" s="51"/>
      <c r="R30" s="52"/>
      <c r="S30" s="53"/>
      <c r="T30" s="48"/>
      <c r="U30" s="54"/>
      <c r="V30" s="33"/>
    </row>
    <row r="31" spans="1:22" hidden="1" outlineLevel="2" x14ac:dyDescent="0.25">
      <c r="A31" s="119"/>
      <c r="J31" s="120"/>
      <c r="L31" s="320"/>
      <c r="M31" s="47"/>
      <c r="N31" s="48"/>
      <c r="O31" s="49"/>
      <c r="P31" s="50"/>
      <c r="Q31" s="51"/>
      <c r="R31" s="52"/>
      <c r="S31" s="53"/>
      <c r="T31" s="48"/>
      <c r="U31" s="54"/>
      <c r="V31" s="33"/>
    </row>
    <row r="32" spans="1:22" hidden="1" outlineLevel="2" x14ac:dyDescent="0.25">
      <c r="A32" s="119"/>
      <c r="J32" s="120"/>
      <c r="L32" s="320"/>
      <c r="M32" s="47"/>
      <c r="N32" s="48"/>
      <c r="O32" s="49"/>
      <c r="P32" s="50"/>
      <c r="Q32" s="51"/>
      <c r="R32" s="52"/>
      <c r="S32" s="53"/>
      <c r="T32" s="48"/>
      <c r="U32" s="54"/>
      <c r="V32" s="33"/>
    </row>
    <row r="33" spans="1:22" hidden="1" outlineLevel="2" x14ac:dyDescent="0.25">
      <c r="A33" s="119"/>
      <c r="J33" s="120"/>
      <c r="L33" s="320"/>
      <c r="M33" s="47"/>
      <c r="N33" s="48"/>
      <c r="O33" s="49"/>
      <c r="P33" s="50"/>
      <c r="Q33" s="51"/>
      <c r="R33" s="52"/>
      <c r="S33" s="53"/>
      <c r="T33" s="48"/>
      <c r="U33" s="54"/>
      <c r="V33" s="33"/>
    </row>
    <row r="34" spans="1:22" hidden="1" outlineLevel="2" x14ac:dyDescent="0.25">
      <c r="A34" s="119"/>
      <c r="J34" s="120"/>
      <c r="L34" s="320"/>
      <c r="M34" s="47"/>
      <c r="N34" s="48"/>
      <c r="O34" s="49"/>
      <c r="P34" s="50"/>
      <c r="Q34" s="51"/>
      <c r="R34" s="52"/>
      <c r="S34" s="53"/>
      <c r="T34" s="48"/>
      <c r="U34" s="54"/>
      <c r="V34" s="33"/>
    </row>
    <row r="35" spans="1:22" hidden="1" outlineLevel="2" x14ac:dyDescent="0.25">
      <c r="A35" s="121"/>
      <c r="B35" s="122"/>
      <c r="C35" s="122"/>
      <c r="D35" s="122"/>
      <c r="E35" s="122"/>
      <c r="F35" s="122"/>
      <c r="G35" s="122"/>
      <c r="H35" s="122"/>
      <c r="I35" s="122"/>
      <c r="J35" s="123"/>
      <c r="L35" s="148">
        <f>SUM(L24:L34)</f>
        <v>0</v>
      </c>
      <c r="M35" s="152"/>
      <c r="N35" s="153"/>
      <c r="O35" s="154"/>
      <c r="P35" s="155"/>
      <c r="Q35" s="148">
        <f>SUM(Q24:Q34)</f>
        <v>0</v>
      </c>
      <c r="R35" s="157">
        <f>Q35-H24</f>
        <v>0</v>
      </c>
      <c r="S35" s="158" t="str">
        <f>IF(H24=0,"",R35/H24)</f>
        <v/>
      </c>
      <c r="T35" s="159"/>
      <c r="U35" s="160"/>
      <c r="V35" s="161"/>
    </row>
    <row r="36" spans="1:22" collapsed="1" x14ac:dyDescent="0.25"/>
    <row r="37" spans="1:22" x14ac:dyDescent="0.25">
      <c r="A37" s="104" t="s">
        <v>114</v>
      </c>
      <c r="B37" s="105" t="str">
        <f>B6</f>
        <v>קטגוריה ד'- ציוד תעסוקה / סדנאות</v>
      </c>
      <c r="C37" s="105"/>
      <c r="D37" s="71"/>
      <c r="E37" s="66"/>
      <c r="F37" s="66"/>
      <c r="G37" s="66"/>
      <c r="H37" s="66"/>
      <c r="I37" s="66"/>
      <c r="J37" s="66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</row>
    <row r="38" spans="1:22" ht="69" customHeight="1" x14ac:dyDescent="0.25">
      <c r="A38" s="61"/>
      <c r="B38" s="83" t="str">
        <f>B6</f>
        <v>קטגוריה ד'- ציוד תעסוקה / סדנאות</v>
      </c>
      <c r="C38" s="83"/>
      <c r="D38" s="35"/>
      <c r="E38" s="124"/>
      <c r="F38" s="106" t="s">
        <v>178</v>
      </c>
      <c r="G38" s="89"/>
      <c r="H38" s="112" t="s">
        <v>94</v>
      </c>
      <c r="I38" s="113"/>
      <c r="J38" s="114"/>
      <c r="K38" s="93"/>
      <c r="L38" s="40" t="s">
        <v>94</v>
      </c>
      <c r="M38" s="88"/>
      <c r="N38" s="89"/>
      <c r="O38" s="89"/>
      <c r="P38" s="89"/>
      <c r="Q38" s="90" t="s">
        <v>99</v>
      </c>
      <c r="R38" s="90" t="s">
        <v>115</v>
      </c>
      <c r="S38" s="91" t="s">
        <v>101</v>
      </c>
      <c r="T38" s="83"/>
      <c r="U38" s="92"/>
      <c r="V38" s="36"/>
    </row>
    <row r="39" spans="1:22" s="213" customFormat="1" x14ac:dyDescent="0.25">
      <c r="A39" s="202"/>
      <c r="B39" s="169" t="s">
        <v>231</v>
      </c>
      <c r="C39" s="169"/>
      <c r="D39" s="209"/>
      <c r="E39" s="210"/>
      <c r="F39" s="191">
        <f>F12+F24</f>
        <v>65000</v>
      </c>
      <c r="G39" s="211"/>
      <c r="H39" s="191">
        <f>H12+H24</f>
        <v>0</v>
      </c>
      <c r="I39" s="211"/>
      <c r="J39" s="210"/>
      <c r="K39" s="192"/>
      <c r="L39" s="178">
        <f>L23+L35</f>
        <v>0</v>
      </c>
      <c r="M39" s="175"/>
      <c r="N39" s="179"/>
      <c r="O39" s="180"/>
      <c r="P39" s="181"/>
      <c r="Q39" s="178">
        <f>Q23+Q35</f>
        <v>0</v>
      </c>
      <c r="R39" s="52">
        <f>R23+R35</f>
        <v>0</v>
      </c>
      <c r="S39" s="182">
        <f>IF(H39=0,0,R39/H39)</f>
        <v>0</v>
      </c>
      <c r="T39" s="183"/>
      <c r="U39" s="184"/>
      <c r="V39" s="185"/>
    </row>
    <row r="40" spans="1:22" x14ac:dyDescent="0.25">
      <c r="A40" s="60" t="s">
        <v>125</v>
      </c>
      <c r="B40" s="2" t="s">
        <v>126</v>
      </c>
      <c r="C40" s="2"/>
    </row>
    <row r="41" spans="1:22" x14ac:dyDescent="0.25">
      <c r="A41" s="60"/>
      <c r="B41" s="2" t="s">
        <v>127</v>
      </c>
      <c r="C41" s="2"/>
    </row>
    <row r="42" spans="1:22" x14ac:dyDescent="0.25">
      <c r="A42" s="60"/>
      <c r="B42" s="2" t="s">
        <v>27</v>
      </c>
      <c r="C42" s="2"/>
    </row>
  </sheetData>
  <sheetProtection algorithmName="SHA-512" hashValue="y8BV/THm2qYUjD0BdHvW36XnKgsgilOoSCaENHy3Bkn8arFShkuyjQOdNDkFCuEVdcpP24aNbodNzMNlaUhVTA==" saltValue="ESldq62ioMomj28nNahv6Q==" spinCount="100000" sheet="1" formatCells="0" formatColumns="0" formatRows="0"/>
  <conditionalFormatting sqref="I12">
    <cfRule type="cellIs" dxfId="15" priority="5" operator="equal">
      <formula>"נא להסביר חריגה"</formula>
    </cfRule>
    <cfRule type="cellIs" dxfId="14" priority="6" operator="equal">
      <formula>"נא להסביר חריגה"</formula>
    </cfRule>
  </conditionalFormatting>
  <conditionalFormatting sqref="I24">
    <cfRule type="cellIs" dxfId="13" priority="2" operator="equal">
      <formula>"נא להסביר חריגה"</formula>
    </cfRule>
    <cfRule type="cellIs" dxfId="12" priority="3" operator="equal">
      <formula>"נא להסביר חריגה"</formula>
    </cfRule>
  </conditionalFormatting>
  <conditionalFormatting sqref="I12:J12">
    <cfRule type="containsText" dxfId="11" priority="7" operator="containsText" text="נא להסביר חריגה כאן">
      <formula>NOT(ISERROR(SEARCH("נא להסביר חריגה כאן",I12)))</formula>
    </cfRule>
  </conditionalFormatting>
  <conditionalFormatting sqref="I24:J24">
    <cfRule type="containsText" dxfId="10" priority="4" operator="containsText" text="נא להסביר חריגה כאן">
      <formula>NOT(ISERROR(SEARCH("נא להסביר חריגה כאן",I24)))</formula>
    </cfRule>
  </conditionalFormatting>
  <conditionalFormatting sqref="L12:L22">
    <cfRule type="containsText" dxfId="9" priority="25" operator="containsText" text="נא להסביר חריגה כאן">
      <formula>NOT(ISERROR(SEARCH("נא להסביר חריגה כאן",L12)))</formula>
    </cfRule>
  </conditionalFormatting>
  <conditionalFormatting sqref="L24:L34">
    <cfRule type="containsText" dxfId="8" priority="1" operator="containsText" text="נא להסביר חריגה כאן">
      <formula>NOT(ISERROR(SEARCH("נא להסביר חריגה כאן",L24)))</formula>
    </cfRule>
  </conditionalFormatting>
  <conditionalFormatting sqref="R12:S35">
    <cfRule type="cellIs" dxfId="7" priority="9" operator="greaterThan">
      <formula>0</formula>
    </cfRule>
  </conditionalFormatting>
  <conditionalFormatting sqref="R39:T39">
    <cfRule type="cellIs" dxfId="6" priority="8" operator="greaterThan">
      <formula>0</formula>
    </cfRule>
  </conditionalFormatting>
  <pageMargins left="0.7" right="0.7" top="0.75" bottom="0.75" header="0.511811023622047" footer="0.51181102362204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DAD15-3F54-4B06-AC0A-769CF08BD772}">
  <dimension ref="A1:W28"/>
  <sheetViews>
    <sheetView rightToLeft="1" zoomScale="80" zoomScaleNormal="80" workbookViewId="0"/>
  </sheetViews>
  <sheetFormatPr defaultColWidth="8.6640625" defaultRowHeight="13.8" outlineLevelCol="1" x14ac:dyDescent="0.25"/>
  <cols>
    <col min="1" max="1" width="4" style="237" customWidth="1"/>
    <col min="2" max="2" width="16.109375" style="237" customWidth="1"/>
    <col min="3" max="3" width="25" style="237" customWidth="1"/>
    <col min="4" max="4" width="13.5546875" style="237" customWidth="1"/>
    <col min="5" max="5" width="8.6640625" style="237"/>
    <col min="6" max="6" width="10.77734375" style="237" customWidth="1"/>
    <col min="7" max="8" width="8.6640625" style="237"/>
    <col min="9" max="9" width="15.21875" style="237" customWidth="1"/>
    <col min="10" max="10" width="19.109375" style="237" customWidth="1"/>
    <col min="11" max="11" width="2.109375" style="237" customWidth="1"/>
    <col min="12" max="13" width="8.6640625" style="237" hidden="1" customWidth="1" outlineLevel="1"/>
    <col min="14" max="14" width="15.109375" style="237" hidden="1" customWidth="1" outlineLevel="1"/>
    <col min="15" max="17" width="8.6640625" style="237" hidden="1" customWidth="1" outlineLevel="1"/>
    <col min="18" max="18" width="15.33203125" style="237" hidden="1" customWidth="1" outlineLevel="1"/>
    <col min="19" max="22" width="8.6640625" style="237" hidden="1" customWidth="1" outlineLevel="1"/>
    <col min="23" max="23" width="8.6640625" style="237" collapsed="1"/>
    <col min="24" max="16384" width="8.6640625" style="237"/>
  </cols>
  <sheetData>
    <row r="1" spans="1:22" x14ac:dyDescent="0.25">
      <c r="A1" s="192"/>
      <c r="B1" s="345" t="s">
        <v>236</v>
      </c>
      <c r="C1" s="6"/>
      <c r="D1" s="192"/>
      <c r="E1" s="192"/>
      <c r="F1" s="192"/>
    </row>
    <row r="2" spans="1:22" ht="17.399999999999999" x14ac:dyDescent="0.3">
      <c r="A2" s="3"/>
      <c r="B2" s="94" t="str">
        <f>'שאלון למילוי מגיש הבקשה-חובה'!$C$7</f>
        <v>שם הגוף המבקש:</v>
      </c>
      <c r="C2" s="94"/>
      <c r="D2" s="344">
        <f>'שאלון למילוי מגיש הבקשה-חובה'!$G$7</f>
        <v>0</v>
      </c>
      <c r="E2" s="28"/>
      <c r="F2" s="28"/>
    </row>
    <row r="3" spans="1:22" ht="17.399999999999999" x14ac:dyDescent="0.3">
      <c r="A3" s="3"/>
      <c r="B3" s="94" t="str">
        <f>'שאלון למילוי מגיש הבקשה-חובה'!$C$18</f>
        <v>שם המסגרת:</v>
      </c>
      <c r="C3" s="94"/>
      <c r="D3" s="344">
        <f>'שאלון למילוי מגיש הבקשה-חובה'!$G$18</f>
        <v>0</v>
      </c>
      <c r="E3" s="28"/>
      <c r="F3" s="28"/>
    </row>
    <row r="4" spans="1:22" ht="15.6" x14ac:dyDescent="0.3">
      <c r="B4" s="94" t="str">
        <f>'שאלון למילוי מגיש הבקשה-חובה'!$C$33</f>
        <v>מספר האנשים שעבורם מיועד הפרויקט:</v>
      </c>
      <c r="C4" s="94"/>
      <c r="D4" s="94">
        <f>'שאלון למילוי מגיש הבקשה-חובה'!$G$33</f>
        <v>0</v>
      </c>
    </row>
    <row r="5" spans="1:22" ht="15.6" x14ac:dyDescent="0.3">
      <c r="B5" s="94" t="str">
        <f>'שאלון למילוי מגיש הבקשה-חובה'!$C$35</f>
        <v>מספר חדרי פעילות:</v>
      </c>
      <c r="C5" s="94"/>
      <c r="D5" s="94">
        <f>'שאלון למילוי מגיש הבקשה-חובה'!$G$35</f>
        <v>0</v>
      </c>
    </row>
    <row r="6" spans="1:22" x14ac:dyDescent="0.25">
      <c r="A6" s="237">
        <v>5</v>
      </c>
      <c r="B6" s="223" t="s">
        <v>181</v>
      </c>
      <c r="C6" s="223"/>
    </row>
    <row r="7" spans="1:22" x14ac:dyDescent="0.25">
      <c r="A7" s="242">
        <v>5.0999999999999996</v>
      </c>
      <c r="B7" s="285" t="s">
        <v>182</v>
      </c>
      <c r="C7" s="312"/>
      <c r="D7" s="286"/>
      <c r="E7" s="286"/>
      <c r="F7" s="287"/>
      <c r="G7" s="288" t="s">
        <v>183</v>
      </c>
      <c r="H7" s="286"/>
      <c r="I7" s="286"/>
      <c r="J7" s="287"/>
      <c r="K7" s="238"/>
      <c r="L7" s="218" t="s">
        <v>83</v>
      </c>
      <c r="M7" s="239"/>
      <c r="N7" s="239" t="s">
        <v>84</v>
      </c>
      <c r="O7" s="239"/>
      <c r="P7" s="239"/>
      <c r="Q7" s="239"/>
      <c r="R7" s="239"/>
      <c r="S7" s="239"/>
      <c r="T7" s="239"/>
      <c r="U7" s="239"/>
      <c r="V7" s="240"/>
    </row>
    <row r="8" spans="1:22" ht="69" x14ac:dyDescent="0.25">
      <c r="A8" s="289" t="s">
        <v>119</v>
      </c>
      <c r="B8" s="290" t="s">
        <v>86</v>
      </c>
      <c r="C8" s="290" t="s">
        <v>242</v>
      </c>
      <c r="D8" s="290" t="s">
        <v>120</v>
      </c>
      <c r="E8" s="290" t="s">
        <v>121</v>
      </c>
      <c r="F8" s="290" t="s">
        <v>122</v>
      </c>
      <c r="G8" s="290" t="s">
        <v>90</v>
      </c>
      <c r="H8" s="290" t="s">
        <v>123</v>
      </c>
      <c r="I8" s="290" t="s">
        <v>92</v>
      </c>
      <c r="J8" s="290" t="s">
        <v>93</v>
      </c>
      <c r="L8" s="280" t="s">
        <v>94</v>
      </c>
      <c r="M8" s="281" t="s">
        <v>95</v>
      </c>
      <c r="N8" s="282" t="s">
        <v>96</v>
      </c>
      <c r="O8" s="282" t="s">
        <v>97</v>
      </c>
      <c r="P8" s="282" t="s">
        <v>98</v>
      </c>
      <c r="Q8" s="283" t="s">
        <v>99</v>
      </c>
      <c r="R8" s="283" t="s">
        <v>100</v>
      </c>
      <c r="S8" s="282" t="s">
        <v>101</v>
      </c>
      <c r="T8" s="282" t="s">
        <v>102</v>
      </c>
      <c r="U8" s="241" t="s">
        <v>103</v>
      </c>
      <c r="V8" s="284" t="s">
        <v>104</v>
      </c>
    </row>
    <row r="9" spans="1:22" x14ac:dyDescent="0.25">
      <c r="A9" s="242">
        <v>1</v>
      </c>
      <c r="B9" s="315" t="s">
        <v>331</v>
      </c>
      <c r="C9" s="101" t="s">
        <v>244</v>
      </c>
      <c r="D9" s="254">
        <f>D$25</f>
        <v>3</v>
      </c>
      <c r="E9" s="64">
        <v>1000</v>
      </c>
      <c r="F9" s="244">
        <f t="shared" ref="F9:F17" si="0">E9*D9</f>
        <v>3000</v>
      </c>
      <c r="G9" s="316"/>
      <c r="H9" s="245">
        <f t="shared" ref="H9:H17" si="1">E9*G9</f>
        <v>0</v>
      </c>
      <c r="I9" s="46" t="str">
        <f t="shared" ref="I9:I17" si="2">IF(G9&gt;D9,"נא להסביר חריגה","")</f>
        <v/>
      </c>
      <c r="J9" s="317"/>
      <c r="L9" s="321"/>
      <c r="M9" s="246"/>
      <c r="N9" s="247"/>
      <c r="O9" s="248"/>
      <c r="P9" s="249"/>
      <c r="Q9" s="250"/>
      <c r="R9" s="244">
        <f t="shared" ref="R9:R18" si="3">IF(Q9="",0,Q9-H9)</f>
        <v>0</v>
      </c>
      <c r="S9" s="251">
        <f t="shared" ref="S9:S18" si="4">IF(H9=0,0,R9/H9)</f>
        <v>0</v>
      </c>
      <c r="T9" s="247"/>
      <c r="U9" s="241"/>
      <c r="V9" s="243"/>
    </row>
    <row r="10" spans="1:22" x14ac:dyDescent="0.25">
      <c r="A10" s="242">
        <v>2</v>
      </c>
      <c r="B10" s="315" t="s">
        <v>264</v>
      </c>
      <c r="C10" s="101" t="s">
        <v>244</v>
      </c>
      <c r="D10" s="254">
        <f>D$25</f>
        <v>3</v>
      </c>
      <c r="E10" s="64">
        <v>2500</v>
      </c>
      <c r="F10" s="244">
        <f t="shared" si="0"/>
        <v>7500</v>
      </c>
      <c r="G10" s="316"/>
      <c r="H10" s="245">
        <f t="shared" si="1"/>
        <v>0</v>
      </c>
      <c r="I10" s="46" t="str">
        <f t="shared" si="2"/>
        <v/>
      </c>
      <c r="J10" s="317"/>
      <c r="L10" s="321"/>
      <c r="M10" s="246"/>
      <c r="N10" s="247"/>
      <c r="O10" s="248"/>
      <c r="P10" s="249"/>
      <c r="Q10" s="250"/>
      <c r="R10" s="244">
        <f t="shared" si="3"/>
        <v>0</v>
      </c>
      <c r="S10" s="251">
        <f t="shared" si="4"/>
        <v>0</v>
      </c>
      <c r="T10" s="247"/>
      <c r="U10" s="241"/>
      <c r="V10" s="243"/>
    </row>
    <row r="11" spans="1:22" x14ac:dyDescent="0.25">
      <c r="A11" s="242">
        <v>3</v>
      </c>
      <c r="B11" s="290" t="s">
        <v>252</v>
      </c>
      <c r="C11" s="101" t="s">
        <v>244</v>
      </c>
      <c r="D11" s="254">
        <f>D$25</f>
        <v>3</v>
      </c>
      <c r="E11" s="64">
        <v>4500</v>
      </c>
      <c r="F11" s="244">
        <f t="shared" si="0"/>
        <v>13500</v>
      </c>
      <c r="G11" s="316"/>
      <c r="H11" s="245">
        <f t="shared" si="1"/>
        <v>0</v>
      </c>
      <c r="I11" s="46" t="str">
        <f t="shared" si="2"/>
        <v/>
      </c>
      <c r="J11" s="317"/>
      <c r="L11" s="321"/>
      <c r="M11" s="246"/>
      <c r="N11" s="247"/>
      <c r="O11" s="248"/>
      <c r="P11" s="249"/>
      <c r="Q11" s="250"/>
      <c r="R11" s="244">
        <f t="shared" si="3"/>
        <v>0</v>
      </c>
      <c r="S11" s="251">
        <f t="shared" si="4"/>
        <v>0</v>
      </c>
      <c r="T11" s="247"/>
      <c r="U11" s="241"/>
      <c r="V11" s="243"/>
    </row>
    <row r="12" spans="1:22" x14ac:dyDescent="0.25">
      <c r="A12" s="242">
        <v>4</v>
      </c>
      <c r="B12" s="315" t="s">
        <v>229</v>
      </c>
      <c r="C12" s="101" t="s">
        <v>244</v>
      </c>
      <c r="D12" s="254">
        <f>D$25</f>
        <v>3</v>
      </c>
      <c r="E12" s="64">
        <v>5000</v>
      </c>
      <c r="F12" s="244">
        <f t="shared" si="0"/>
        <v>15000</v>
      </c>
      <c r="G12" s="316"/>
      <c r="H12" s="245">
        <f t="shared" si="1"/>
        <v>0</v>
      </c>
      <c r="I12" s="46" t="str">
        <f t="shared" si="2"/>
        <v/>
      </c>
      <c r="J12" s="317"/>
      <c r="L12" s="321"/>
      <c r="M12" s="246"/>
      <c r="N12" s="247"/>
      <c r="O12" s="248"/>
      <c r="P12" s="249"/>
      <c r="Q12" s="250"/>
      <c r="R12" s="244">
        <f t="shared" si="3"/>
        <v>0</v>
      </c>
      <c r="S12" s="251">
        <f t="shared" si="4"/>
        <v>0</v>
      </c>
      <c r="T12" s="247"/>
      <c r="U12" s="241"/>
      <c r="V12" s="243"/>
    </row>
    <row r="13" spans="1:22" x14ac:dyDescent="0.25">
      <c r="A13" s="242">
        <v>5</v>
      </c>
      <c r="B13" s="315" t="s">
        <v>267</v>
      </c>
      <c r="C13" s="101" t="s">
        <v>244</v>
      </c>
      <c r="D13" s="254">
        <f>D$25</f>
        <v>3</v>
      </c>
      <c r="E13" s="64">
        <v>1500</v>
      </c>
      <c r="F13" s="244">
        <f t="shared" si="0"/>
        <v>4500</v>
      </c>
      <c r="G13" s="316"/>
      <c r="H13" s="245">
        <f t="shared" si="1"/>
        <v>0</v>
      </c>
      <c r="I13" s="46" t="str">
        <f t="shared" si="2"/>
        <v/>
      </c>
      <c r="J13" s="317"/>
      <c r="L13" s="321"/>
      <c r="M13" s="246"/>
      <c r="N13" s="247"/>
      <c r="O13" s="248"/>
      <c r="P13" s="249"/>
      <c r="Q13" s="250"/>
      <c r="R13" s="244">
        <f t="shared" si="3"/>
        <v>0</v>
      </c>
      <c r="S13" s="251">
        <f t="shared" si="4"/>
        <v>0</v>
      </c>
      <c r="T13" s="247"/>
      <c r="U13" s="241"/>
      <c r="V13" s="243"/>
    </row>
    <row r="14" spans="1:22" x14ac:dyDescent="0.25">
      <c r="A14" s="242">
        <v>6</v>
      </c>
      <c r="B14" s="315" t="s">
        <v>310</v>
      </c>
      <c r="C14" s="101"/>
      <c r="D14" s="311">
        <v>1</v>
      </c>
      <c r="E14" s="64">
        <v>1500</v>
      </c>
      <c r="F14" s="244">
        <f t="shared" ref="F14" si="5">E14*D14</f>
        <v>1500</v>
      </c>
      <c r="G14" s="316"/>
      <c r="H14" s="245">
        <f t="shared" ref="H14" si="6">E14*G14</f>
        <v>0</v>
      </c>
      <c r="I14" s="46" t="str">
        <f t="shared" ref="I14" si="7">IF(G14&gt;D14,"נא להסביר חריגה","")</f>
        <v/>
      </c>
      <c r="J14" s="317"/>
      <c r="L14" s="321"/>
      <c r="M14" s="246"/>
      <c r="N14" s="247"/>
      <c r="O14" s="248"/>
      <c r="P14" s="249"/>
      <c r="Q14" s="250"/>
      <c r="R14" s="244">
        <f t="shared" ref="R14" si="8">IF(Q14="",0,Q14-H14)</f>
        <v>0</v>
      </c>
      <c r="S14" s="251">
        <f t="shared" ref="S14" si="9">IF(H14=0,0,R14/H14)</f>
        <v>0</v>
      </c>
      <c r="T14" s="247"/>
      <c r="U14" s="241"/>
      <c r="V14" s="243"/>
    </row>
    <row r="15" spans="1:22" x14ac:dyDescent="0.25">
      <c r="A15" s="242">
        <v>7</v>
      </c>
      <c r="B15" s="315" t="s">
        <v>261</v>
      </c>
      <c r="C15" s="101"/>
      <c r="D15" s="311">
        <v>1</v>
      </c>
      <c r="E15" s="64">
        <v>2000</v>
      </c>
      <c r="F15" s="244">
        <f t="shared" ref="F15" si="10">E15*D15</f>
        <v>2000</v>
      </c>
      <c r="G15" s="316"/>
      <c r="H15" s="245">
        <f t="shared" ref="H15" si="11">E15*G15</f>
        <v>0</v>
      </c>
      <c r="I15" s="46" t="str">
        <f t="shared" ref="I15" si="12">IF(G15&gt;D15,"נא להסביר חריגה","")</f>
        <v/>
      </c>
      <c r="J15" s="317"/>
      <c r="L15" s="321"/>
      <c r="M15" s="246"/>
      <c r="N15" s="247"/>
      <c r="O15" s="248"/>
      <c r="P15" s="249"/>
      <c r="Q15" s="250"/>
      <c r="R15" s="244">
        <f t="shared" ref="R15" si="13">IF(Q15="",0,Q15-H15)</f>
        <v>0</v>
      </c>
      <c r="S15" s="251">
        <f t="shared" ref="S15" si="14">IF(H15=0,0,R15/H15)</f>
        <v>0</v>
      </c>
      <c r="T15" s="247"/>
      <c r="U15" s="241"/>
      <c r="V15" s="243"/>
    </row>
    <row r="16" spans="1:22" x14ac:dyDescent="0.25">
      <c r="A16" s="242">
        <v>8</v>
      </c>
      <c r="B16" s="315" t="s">
        <v>266</v>
      </c>
      <c r="C16" s="101" t="s">
        <v>244</v>
      </c>
      <c r="D16" s="254">
        <f>D$25</f>
        <v>3</v>
      </c>
      <c r="E16" s="64">
        <v>700</v>
      </c>
      <c r="F16" s="244">
        <f t="shared" si="0"/>
        <v>2100</v>
      </c>
      <c r="G16" s="316"/>
      <c r="H16" s="245">
        <f t="shared" si="1"/>
        <v>0</v>
      </c>
      <c r="I16" s="46" t="str">
        <f t="shared" si="2"/>
        <v/>
      </c>
      <c r="J16" s="317"/>
      <c r="L16" s="321"/>
      <c r="M16" s="246"/>
      <c r="N16" s="247"/>
      <c r="O16" s="248"/>
      <c r="P16" s="249"/>
      <c r="Q16" s="250"/>
      <c r="R16" s="244">
        <f t="shared" si="3"/>
        <v>0</v>
      </c>
      <c r="S16" s="251">
        <f t="shared" si="4"/>
        <v>0</v>
      </c>
      <c r="T16" s="247"/>
      <c r="U16" s="241"/>
      <c r="V16" s="243"/>
    </row>
    <row r="17" spans="1:22" x14ac:dyDescent="0.25">
      <c r="A17" s="242">
        <v>9</v>
      </c>
      <c r="B17" s="315" t="s">
        <v>265</v>
      </c>
      <c r="C17" s="101" t="s">
        <v>277</v>
      </c>
      <c r="D17" s="254">
        <f>D$25</f>
        <v>3</v>
      </c>
      <c r="E17" s="253">
        <v>600</v>
      </c>
      <c r="F17" s="253">
        <f t="shared" si="0"/>
        <v>1800</v>
      </c>
      <c r="G17" s="316"/>
      <c r="H17" s="245">
        <f t="shared" si="1"/>
        <v>0</v>
      </c>
      <c r="I17" s="46" t="str">
        <f t="shared" si="2"/>
        <v/>
      </c>
      <c r="J17" s="317"/>
      <c r="L17" s="321"/>
      <c r="M17" s="246"/>
      <c r="N17" s="247"/>
      <c r="O17" s="248"/>
      <c r="P17" s="249"/>
      <c r="Q17" s="250"/>
      <c r="R17" s="244">
        <f t="shared" si="3"/>
        <v>0</v>
      </c>
      <c r="S17" s="251">
        <f t="shared" si="4"/>
        <v>0</v>
      </c>
      <c r="T17" s="247"/>
      <c r="U17" s="241"/>
      <c r="V17" s="243"/>
    </row>
    <row r="18" spans="1:22" s="223" customFormat="1" x14ac:dyDescent="0.25">
      <c r="A18" s="222"/>
      <c r="B18" s="142" t="s">
        <v>232</v>
      </c>
      <c r="C18" s="142"/>
      <c r="D18" s="252"/>
      <c r="E18" s="157"/>
      <c r="F18" s="157">
        <f>SUM(F9:F17)</f>
        <v>50900</v>
      </c>
      <c r="G18" s="165"/>
      <c r="H18" s="165">
        <f>SUM(H9:H17)</f>
        <v>0</v>
      </c>
      <c r="I18" s="165"/>
      <c r="J18" s="165"/>
      <c r="L18" s="148">
        <f>SUM(L9:L17)</f>
        <v>0</v>
      </c>
      <c r="M18" s="152"/>
      <c r="N18" s="153"/>
      <c r="O18" s="154"/>
      <c r="P18" s="155"/>
      <c r="Q18" s="148">
        <f>SUM(Q9:Q17)</f>
        <v>0</v>
      </c>
      <c r="R18" s="157">
        <f t="shared" si="3"/>
        <v>0</v>
      </c>
      <c r="S18" s="158">
        <f t="shared" si="4"/>
        <v>0</v>
      </c>
      <c r="T18" s="159"/>
      <c r="U18" s="160"/>
      <c r="V18" s="161"/>
    </row>
    <row r="19" spans="1:22" x14ac:dyDescent="0.25">
      <c r="B19" s="212"/>
      <c r="C19" s="212"/>
      <c r="D19" s="212"/>
      <c r="E19" s="238"/>
      <c r="F19" s="212"/>
    </row>
    <row r="20" spans="1:22" x14ac:dyDescent="0.25">
      <c r="B20" s="238" t="s">
        <v>237</v>
      </c>
      <c r="C20" s="238"/>
      <c r="D20" s="212"/>
      <c r="E20" s="238"/>
      <c r="F20" s="238"/>
      <c r="G20" s="238"/>
      <c r="H20" s="238"/>
    </row>
    <row r="21" spans="1:22" x14ac:dyDescent="0.25">
      <c r="A21" s="262" t="s">
        <v>119</v>
      </c>
      <c r="B21" s="288" t="s">
        <v>235</v>
      </c>
      <c r="C21" s="287"/>
      <c r="D21" s="263" t="s">
        <v>234</v>
      </c>
      <c r="E21" s="238"/>
      <c r="F21" s="238"/>
      <c r="G21" s="238"/>
      <c r="H21" s="238"/>
    </row>
    <row r="22" spans="1:22" x14ac:dyDescent="0.25">
      <c r="A22" s="245">
        <v>1</v>
      </c>
      <c r="B22" s="313" t="s">
        <v>262</v>
      </c>
      <c r="C22" s="314"/>
      <c r="D22" s="264">
        <v>1</v>
      </c>
      <c r="E22" s="238"/>
      <c r="F22" s="238"/>
      <c r="G22" s="238"/>
      <c r="H22" s="238"/>
    </row>
    <row r="23" spans="1:22" x14ac:dyDescent="0.25">
      <c r="A23" s="245">
        <v>2</v>
      </c>
      <c r="B23" s="313" t="s">
        <v>263</v>
      </c>
      <c r="C23" s="314"/>
      <c r="D23" s="264">
        <v>1</v>
      </c>
      <c r="E23" s="238"/>
      <c r="F23" s="238"/>
      <c r="G23" s="238"/>
      <c r="H23" s="238"/>
    </row>
    <row r="24" spans="1:22" x14ac:dyDescent="0.25">
      <c r="A24" s="245">
        <v>3</v>
      </c>
      <c r="B24" s="313" t="s">
        <v>233</v>
      </c>
      <c r="C24" s="314" t="s">
        <v>276</v>
      </c>
      <c r="D24" s="252">
        <f>IF('שאלון למילוי מגיש הבקשה-חובה'!$G$33&lt;31,1,IF('שאלון למילוי מגיש הבקשה-חובה'!$G$33&lt;61,2,3))</f>
        <v>1</v>
      </c>
      <c r="E24" s="238"/>
      <c r="F24" s="238"/>
      <c r="G24" s="238"/>
      <c r="H24" s="238"/>
    </row>
    <row r="25" spans="1:22" x14ac:dyDescent="0.25">
      <c r="A25" s="262"/>
      <c r="B25" s="288" t="s">
        <v>275</v>
      </c>
      <c r="C25" s="287"/>
      <c r="D25" s="263">
        <f>SUM(D22:D24)</f>
        <v>3</v>
      </c>
      <c r="E25" s="238"/>
      <c r="F25" s="238"/>
      <c r="G25" s="238"/>
      <c r="H25" s="238"/>
    </row>
    <row r="26" spans="1:22" x14ac:dyDescent="0.25">
      <c r="E26" s="238"/>
      <c r="F26" s="238"/>
      <c r="G26" s="238"/>
      <c r="H26" s="238"/>
    </row>
    <row r="27" spans="1:22" x14ac:dyDescent="0.25">
      <c r="E27" s="238"/>
    </row>
    <row r="28" spans="1:22" x14ac:dyDescent="0.25">
      <c r="E28" s="238"/>
    </row>
  </sheetData>
  <sheetProtection algorithmName="SHA-512" hashValue="IY6pj38JUPoumqROOcpY+5fkjp8zB5iiV4PCmlMDVAyQ6BpH4KIXL0gQk5uWKZbl//b9tKaPOrBXMaWhAREt+A==" saltValue="2Apg9OkwGqs0TMJGdy3OWA==" spinCount="100000" sheet="1" formatCells="0" formatColumns="0" formatRows="0"/>
  <conditionalFormatting sqref="I9:I17">
    <cfRule type="cellIs" dxfId="5" priority="1" operator="equal">
      <formula>"נא להסביר חריגה"</formula>
    </cfRule>
    <cfRule type="cellIs" dxfId="4" priority="2" operator="equal">
      <formula>"נא להסביר חריגה"</formula>
    </cfRule>
  </conditionalFormatting>
  <conditionalFormatting sqref="I9:J17 L9:L17">
    <cfRule type="containsText" dxfId="3" priority="3" operator="containsText" text="נא להסביר חריגה כאן">
      <formula>NOT(ISERROR(SEARCH("נא להסביר חריגה כאן",I9)))</formula>
    </cfRule>
  </conditionalFormatting>
  <conditionalFormatting sqref="R9:S18">
    <cfRule type="cellIs" dxfId="2" priority="4" operator="greaterThan">
      <formula>0</formula>
    </cfRule>
  </conditionalFormatting>
  <pageMargins left="0.7" right="0.7" top="0.75" bottom="0.75" header="0.511811023622047" footer="0.51181102362204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74"/>
  <sheetViews>
    <sheetView rightToLeft="1" zoomScale="80" zoomScaleNormal="80" workbookViewId="0"/>
  </sheetViews>
  <sheetFormatPr defaultColWidth="8.6640625" defaultRowHeight="13.8" outlineLevelRow="1" outlineLevelCol="1" x14ac:dyDescent="0.25"/>
  <cols>
    <col min="1" max="1" width="5.109375" style="4" customWidth="1"/>
    <col min="2" max="2" width="22.44140625" style="4" customWidth="1"/>
    <col min="3" max="3" width="15" style="4" customWidth="1"/>
    <col min="4" max="4" width="21.21875" style="4" customWidth="1"/>
    <col min="5" max="8" width="8.6640625" style="4"/>
    <col min="9" max="9" width="11.109375" style="4" customWidth="1"/>
    <col min="10" max="10" width="8.6640625" style="4"/>
    <col min="11" max="11" width="15.21875" style="4" customWidth="1"/>
    <col min="12" max="12" width="1.6640625" style="4" customWidth="1"/>
    <col min="13" max="15" width="8.6640625" style="4"/>
    <col min="16" max="16" width="13.109375" style="4" customWidth="1"/>
    <col min="17" max="17" width="18.5546875" style="4" customWidth="1"/>
    <col min="18" max="18" width="2.44140625" style="4" customWidth="1"/>
    <col min="19" max="19" width="10.77734375" style="4" hidden="1" customWidth="1" outlineLevel="1"/>
    <col min="20" max="20" width="8.6640625" style="4" hidden="1" customWidth="1" outlineLevel="1"/>
    <col min="21" max="21" width="13.44140625" style="4" hidden="1" customWidth="1" outlineLevel="1"/>
    <col min="22" max="23" width="8.6640625" style="4" hidden="1" customWidth="1" outlineLevel="1"/>
    <col min="24" max="24" width="15" style="4" hidden="1" customWidth="1" outlineLevel="1"/>
    <col min="25" max="25" width="17.21875" style="4" hidden="1" customWidth="1" outlineLevel="1"/>
    <col min="26" max="26" width="9.33203125" style="4" hidden="1" customWidth="1" outlineLevel="1"/>
    <col min="27" max="29" width="8.6640625" style="4" hidden="1" customWidth="1" outlineLevel="1"/>
    <col min="30" max="30" width="8.6640625" style="4" collapsed="1"/>
    <col min="31" max="16384" width="8.6640625" style="4"/>
  </cols>
  <sheetData>
    <row r="1" spans="1:29" x14ac:dyDescent="0.25">
      <c r="A1" s="192"/>
      <c r="B1" s="345" t="str">
        <f>פתיח!$B$3&amp;": גירסת "&amp;פתיח!$E$4</f>
        <v>תקן ציוד כללי למרכזי יום טיפוליים ולמסגרות מזדקנים לאנשים עם מוגבלות: גירסת 2 בספטמבר 2026</v>
      </c>
      <c r="C1" s="6"/>
      <c r="D1" s="192"/>
      <c r="E1" s="192"/>
      <c r="F1" s="192"/>
    </row>
    <row r="2" spans="1:29" ht="15" customHeight="1" x14ac:dyDescent="0.3">
      <c r="A2" s="3"/>
      <c r="B2" s="94" t="str">
        <f>'שאלון למילוי מגיש הבקשה-חובה'!$C$7</f>
        <v>שם הגוף המבקש:</v>
      </c>
      <c r="D2" s="344">
        <f>'שאלון למילוי מגיש הבקשה-חובה'!$G$7</f>
        <v>0</v>
      </c>
      <c r="E2" s="28"/>
      <c r="F2" s="28"/>
    </row>
    <row r="3" spans="1:29" ht="15" customHeight="1" x14ac:dyDescent="0.3">
      <c r="A3" s="3"/>
      <c r="B3" s="94" t="str">
        <f>'שאלון למילוי מגיש הבקשה-חובה'!$C$18</f>
        <v>שם המסגרת:</v>
      </c>
      <c r="D3" s="344">
        <f>'שאלון למילוי מגיש הבקשה-חובה'!$G$18</f>
        <v>0</v>
      </c>
      <c r="E3" s="28"/>
      <c r="F3" s="28"/>
    </row>
    <row r="4" spans="1:29" s="238" customFormat="1" ht="15" customHeight="1" x14ac:dyDescent="0.3">
      <c r="A4" s="265"/>
      <c r="B4" s="266" t="str">
        <f>'שאלון למילוי מגיש הבקשה-חובה'!$C$33</f>
        <v>מספר האנשים שעבורם מיועד הפרויקט:</v>
      </c>
      <c r="C4" s="266">
        <f>'שאלון למילוי מגיש הבקשה-חובה'!$G$33</f>
        <v>0</v>
      </c>
      <c r="D4" s="265" t="s">
        <v>28</v>
      </c>
      <c r="F4" s="265"/>
      <c r="K4" s="267"/>
      <c r="N4" s="268"/>
      <c r="P4" s="269"/>
    </row>
    <row r="5" spans="1:29" s="238" customFormat="1" ht="15" customHeight="1" x14ac:dyDescent="0.3">
      <c r="A5" s="265"/>
      <c r="B5" s="266" t="str">
        <f>'שאלון למילוי מגיש הבקשה-חובה'!$C$35</f>
        <v>מספר חדרי פעילות:</v>
      </c>
      <c r="C5" s="266">
        <f>'שאלון למילוי מגיש הבקשה-חובה'!$G$35</f>
        <v>0</v>
      </c>
      <c r="D5" s="265" t="s">
        <v>184</v>
      </c>
      <c r="F5" s="265"/>
      <c r="N5" s="268"/>
      <c r="P5" s="269"/>
    </row>
    <row r="6" spans="1:29" ht="15" customHeight="1" x14ac:dyDescent="0.3">
      <c r="A6" s="125">
        <v>4</v>
      </c>
      <c r="B6" s="96" t="s">
        <v>185</v>
      </c>
      <c r="C6" s="125"/>
      <c r="D6" s="125"/>
      <c r="F6" s="125"/>
      <c r="M6" s="331"/>
      <c r="N6" s="332"/>
      <c r="O6" s="38" t="s">
        <v>309</v>
      </c>
      <c r="P6" s="333"/>
      <c r="Q6" s="334"/>
      <c r="R6" s="238"/>
      <c r="S6" s="218" t="s">
        <v>83</v>
      </c>
      <c r="T6" s="239"/>
      <c r="U6" s="239" t="s">
        <v>84</v>
      </c>
      <c r="V6" s="239"/>
      <c r="W6" s="239"/>
      <c r="X6" s="239"/>
      <c r="Y6" s="239"/>
      <c r="Z6" s="239"/>
      <c r="AA6" s="239"/>
      <c r="AB6" s="239"/>
      <c r="AC6" s="240"/>
    </row>
    <row r="7" spans="1:29" ht="55.2" x14ac:dyDescent="0.25">
      <c r="A7" s="276">
        <v>4</v>
      </c>
      <c r="B7" s="127" t="s">
        <v>186</v>
      </c>
      <c r="C7" s="127" t="s">
        <v>187</v>
      </c>
      <c r="D7" s="127" t="s">
        <v>188</v>
      </c>
      <c r="E7" s="127" t="s">
        <v>189</v>
      </c>
      <c r="F7" s="127" t="s">
        <v>190</v>
      </c>
      <c r="G7" s="127" t="s">
        <v>191</v>
      </c>
      <c r="H7" s="127" t="s">
        <v>192</v>
      </c>
      <c r="I7" s="127" t="s">
        <v>193</v>
      </c>
      <c r="J7" s="277" t="s">
        <v>194</v>
      </c>
      <c r="K7" s="127" t="s">
        <v>195</v>
      </c>
      <c r="M7" s="127" t="s">
        <v>196</v>
      </c>
      <c r="N7" s="127" t="s">
        <v>197</v>
      </c>
      <c r="O7" s="278" t="s">
        <v>198</v>
      </c>
      <c r="P7" s="279" t="s">
        <v>199</v>
      </c>
      <c r="Q7" s="127" t="s">
        <v>200</v>
      </c>
      <c r="R7"/>
      <c r="S7" s="280" t="s">
        <v>94</v>
      </c>
      <c r="T7" s="281" t="s">
        <v>95</v>
      </c>
      <c r="U7" s="282" t="s">
        <v>96</v>
      </c>
      <c r="V7" s="282" t="s">
        <v>97</v>
      </c>
      <c r="W7" s="282" t="s">
        <v>98</v>
      </c>
      <c r="X7" s="283" t="s">
        <v>99</v>
      </c>
      <c r="Y7" s="283" t="s">
        <v>100</v>
      </c>
      <c r="Z7" s="282" t="s">
        <v>101</v>
      </c>
      <c r="AA7" s="282" t="s">
        <v>102</v>
      </c>
      <c r="AB7" s="241" t="s">
        <v>103</v>
      </c>
      <c r="AC7" s="284" t="s">
        <v>104</v>
      </c>
    </row>
    <row r="8" spans="1:29" x14ac:dyDescent="0.25">
      <c r="A8" s="128">
        <v>1</v>
      </c>
      <c r="B8" s="257"/>
      <c r="C8" s="258"/>
      <c r="D8" s="258"/>
      <c r="E8" s="259"/>
      <c r="F8" s="259"/>
      <c r="G8" s="259"/>
      <c r="H8" s="259"/>
      <c r="I8" s="129">
        <f t="shared" ref="I8:I39" si="0">IF(J8="",(MIN($F8:$H8))*E8,IF(J8="הצעה א",F8*E8,IF(J8="הצעה ב",G8*E8,H8*E8)))</f>
        <v>0</v>
      </c>
      <c r="J8" s="259"/>
      <c r="K8" s="258" t="str">
        <f t="shared" ref="K8:K39" si="1">IF(J8="","","יש להסביר חריגה")</f>
        <v/>
      </c>
      <c r="M8" s="335"/>
      <c r="N8" s="336" t="str">
        <f t="shared" ref="N8:N39" si="2">IF(ISBLANK(M8),"",IF(M8="מאשר",E8,0))</f>
        <v/>
      </c>
      <c r="O8" s="337"/>
      <c r="P8" s="130">
        <f t="shared" ref="P8:P39" si="3">IFERROR(IF(O8="מאושר",N8*I8/E8,N8*MIN(F8:H8)),0)</f>
        <v>0</v>
      </c>
      <c r="Q8" s="338"/>
      <c r="R8"/>
      <c r="S8" s="321"/>
      <c r="T8" s="246"/>
      <c r="U8" s="247"/>
      <c r="V8" s="248"/>
      <c r="W8" s="249"/>
      <c r="X8" s="250"/>
      <c r="Y8" s="244">
        <f>IF(X8="",0,X8-P8)</f>
        <v>0</v>
      </c>
      <c r="Z8" s="251">
        <f>IF(P8=0,0,Y8/P8)</f>
        <v>0</v>
      </c>
      <c r="AA8" s="247"/>
      <c r="AB8" s="241"/>
      <c r="AC8" s="243"/>
    </row>
    <row r="9" spans="1:29" x14ac:dyDescent="0.25">
      <c r="A9" s="128">
        <v>2</v>
      </c>
      <c r="B9" s="260"/>
      <c r="C9" s="258"/>
      <c r="D9" s="258"/>
      <c r="E9" s="259"/>
      <c r="F9" s="259"/>
      <c r="G9" s="259"/>
      <c r="H9" s="259"/>
      <c r="I9" s="129">
        <f t="shared" si="0"/>
        <v>0</v>
      </c>
      <c r="J9" s="259"/>
      <c r="K9" s="258" t="str">
        <f t="shared" si="1"/>
        <v/>
      </c>
      <c r="M9" s="335"/>
      <c r="N9" s="336" t="str">
        <f t="shared" si="2"/>
        <v/>
      </c>
      <c r="O9" s="337"/>
      <c r="P9" s="130">
        <f t="shared" si="3"/>
        <v>0</v>
      </c>
      <c r="Q9" s="338"/>
      <c r="S9" s="321"/>
      <c r="T9" s="246"/>
      <c r="U9" s="247"/>
      <c r="V9" s="248"/>
      <c r="W9" s="249"/>
      <c r="X9" s="250"/>
      <c r="Y9" s="244">
        <f t="shared" ref="Y9:Y67" si="4">IF(X9="",0,X9-P9)</f>
        <v>0</v>
      </c>
      <c r="Z9" s="251">
        <f t="shared" ref="Z9:Z68" si="5">IF(P9=0,0,Y9/P9)</f>
        <v>0</v>
      </c>
      <c r="AA9" s="247"/>
      <c r="AB9" s="241"/>
      <c r="AC9" s="243"/>
    </row>
    <row r="10" spans="1:29" x14ac:dyDescent="0.25">
      <c r="A10" s="128">
        <v>3</v>
      </c>
      <c r="B10" s="260"/>
      <c r="C10" s="258"/>
      <c r="D10" s="258"/>
      <c r="E10" s="259"/>
      <c r="F10" s="259"/>
      <c r="G10" s="259"/>
      <c r="H10" s="259"/>
      <c r="I10" s="129">
        <f t="shared" si="0"/>
        <v>0</v>
      </c>
      <c r="J10" s="259"/>
      <c r="K10" s="258" t="str">
        <f t="shared" si="1"/>
        <v/>
      </c>
      <c r="M10" s="335"/>
      <c r="N10" s="336" t="str">
        <f t="shared" si="2"/>
        <v/>
      </c>
      <c r="O10" s="337"/>
      <c r="P10" s="130">
        <f t="shared" si="3"/>
        <v>0</v>
      </c>
      <c r="Q10" s="338"/>
      <c r="S10" s="321"/>
      <c r="T10" s="246"/>
      <c r="U10" s="247"/>
      <c r="V10" s="248"/>
      <c r="W10" s="249"/>
      <c r="X10" s="250"/>
      <c r="Y10" s="244">
        <f t="shared" si="4"/>
        <v>0</v>
      </c>
      <c r="Z10" s="251">
        <f t="shared" si="5"/>
        <v>0</v>
      </c>
      <c r="AA10" s="247"/>
      <c r="AB10" s="241"/>
      <c r="AC10" s="243"/>
    </row>
    <row r="11" spans="1:29" x14ac:dyDescent="0.25">
      <c r="A11" s="128">
        <v>4</v>
      </c>
      <c r="B11" s="260"/>
      <c r="C11" s="258"/>
      <c r="D11" s="258"/>
      <c r="E11" s="259"/>
      <c r="F11" s="259"/>
      <c r="G11" s="259"/>
      <c r="H11" s="259"/>
      <c r="I11" s="129">
        <f t="shared" si="0"/>
        <v>0</v>
      </c>
      <c r="J11" s="259"/>
      <c r="K11" s="258" t="str">
        <f t="shared" si="1"/>
        <v/>
      </c>
      <c r="M11" s="335"/>
      <c r="N11" s="336" t="str">
        <f t="shared" si="2"/>
        <v/>
      </c>
      <c r="O11" s="337"/>
      <c r="P11" s="130">
        <f t="shared" si="3"/>
        <v>0</v>
      </c>
      <c r="Q11" s="338"/>
      <c r="S11" s="321"/>
      <c r="T11" s="246"/>
      <c r="U11" s="247"/>
      <c r="V11" s="248"/>
      <c r="W11" s="249"/>
      <c r="X11" s="250"/>
      <c r="Y11" s="244">
        <f t="shared" si="4"/>
        <v>0</v>
      </c>
      <c r="Z11" s="251">
        <f t="shared" si="5"/>
        <v>0</v>
      </c>
      <c r="AA11" s="247"/>
      <c r="AB11" s="241"/>
      <c r="AC11" s="243"/>
    </row>
    <row r="12" spans="1:29" x14ac:dyDescent="0.25">
      <c r="A12" s="128">
        <v>5</v>
      </c>
      <c r="B12" s="261"/>
      <c r="C12" s="258"/>
      <c r="D12" s="258"/>
      <c r="E12" s="259"/>
      <c r="F12" s="259"/>
      <c r="G12" s="259"/>
      <c r="H12" s="259"/>
      <c r="I12" s="129">
        <f t="shared" si="0"/>
        <v>0</v>
      </c>
      <c r="J12" s="259"/>
      <c r="K12" s="258" t="str">
        <f t="shared" si="1"/>
        <v/>
      </c>
      <c r="M12" s="335"/>
      <c r="N12" s="336" t="str">
        <f t="shared" si="2"/>
        <v/>
      </c>
      <c r="O12" s="337"/>
      <c r="P12" s="130">
        <f t="shared" si="3"/>
        <v>0</v>
      </c>
      <c r="Q12" s="338"/>
      <c r="S12" s="321"/>
      <c r="T12" s="246"/>
      <c r="U12" s="247"/>
      <c r="V12" s="248"/>
      <c r="W12" s="249"/>
      <c r="X12" s="250"/>
      <c r="Y12" s="244">
        <f t="shared" si="4"/>
        <v>0</v>
      </c>
      <c r="Z12" s="251">
        <f t="shared" si="5"/>
        <v>0</v>
      </c>
      <c r="AA12" s="247"/>
      <c r="AB12" s="241"/>
      <c r="AC12" s="243"/>
    </row>
    <row r="13" spans="1:29" x14ac:dyDescent="0.25">
      <c r="A13" s="128">
        <v>6</v>
      </c>
      <c r="B13" s="257"/>
      <c r="C13" s="258"/>
      <c r="D13" s="258"/>
      <c r="E13" s="259"/>
      <c r="F13" s="259"/>
      <c r="G13" s="259"/>
      <c r="H13" s="259"/>
      <c r="I13" s="129">
        <f t="shared" si="0"/>
        <v>0</v>
      </c>
      <c r="J13" s="259"/>
      <c r="K13" s="258" t="str">
        <f t="shared" si="1"/>
        <v/>
      </c>
      <c r="M13" s="335"/>
      <c r="N13" s="336" t="str">
        <f t="shared" si="2"/>
        <v/>
      </c>
      <c r="O13" s="337"/>
      <c r="P13" s="130">
        <f t="shared" si="3"/>
        <v>0</v>
      </c>
      <c r="Q13" s="338"/>
      <c r="S13" s="321"/>
      <c r="T13" s="246"/>
      <c r="U13" s="247"/>
      <c r="V13" s="248"/>
      <c r="W13" s="249"/>
      <c r="X13" s="250"/>
      <c r="Y13" s="244">
        <f t="shared" si="4"/>
        <v>0</v>
      </c>
      <c r="Z13" s="251">
        <f t="shared" si="5"/>
        <v>0</v>
      </c>
      <c r="AA13" s="247"/>
      <c r="AB13" s="241"/>
      <c r="AC13" s="243"/>
    </row>
    <row r="14" spans="1:29" x14ac:dyDescent="0.25">
      <c r="A14" s="128">
        <v>7</v>
      </c>
      <c r="B14" s="260"/>
      <c r="C14" s="258"/>
      <c r="D14" s="258"/>
      <c r="E14" s="259"/>
      <c r="F14" s="259"/>
      <c r="G14" s="259"/>
      <c r="H14" s="259"/>
      <c r="I14" s="129">
        <f t="shared" si="0"/>
        <v>0</v>
      </c>
      <c r="J14" s="259"/>
      <c r="K14" s="258" t="str">
        <f t="shared" si="1"/>
        <v/>
      </c>
      <c r="M14" s="335"/>
      <c r="N14" s="336" t="str">
        <f t="shared" si="2"/>
        <v/>
      </c>
      <c r="O14" s="337"/>
      <c r="P14" s="130">
        <f t="shared" si="3"/>
        <v>0</v>
      </c>
      <c r="Q14" s="338"/>
      <c r="S14" s="321"/>
      <c r="T14" s="246"/>
      <c r="U14" s="247"/>
      <c r="V14" s="248"/>
      <c r="W14" s="249"/>
      <c r="X14" s="250"/>
      <c r="Y14" s="244">
        <f t="shared" si="4"/>
        <v>0</v>
      </c>
      <c r="Z14" s="251">
        <f t="shared" si="5"/>
        <v>0</v>
      </c>
      <c r="AA14" s="247"/>
      <c r="AB14" s="241"/>
      <c r="AC14" s="243"/>
    </row>
    <row r="15" spans="1:29" x14ac:dyDescent="0.25">
      <c r="A15" s="128">
        <v>8</v>
      </c>
      <c r="B15" s="260"/>
      <c r="C15" s="258"/>
      <c r="D15" s="258"/>
      <c r="E15" s="259"/>
      <c r="F15" s="259"/>
      <c r="G15" s="259"/>
      <c r="H15" s="259"/>
      <c r="I15" s="129">
        <f t="shared" si="0"/>
        <v>0</v>
      </c>
      <c r="J15" s="259"/>
      <c r="K15" s="258" t="str">
        <f t="shared" si="1"/>
        <v/>
      </c>
      <c r="M15" s="335"/>
      <c r="N15" s="336" t="str">
        <f t="shared" si="2"/>
        <v/>
      </c>
      <c r="O15" s="337"/>
      <c r="P15" s="130">
        <f t="shared" si="3"/>
        <v>0</v>
      </c>
      <c r="Q15" s="338"/>
      <c r="S15" s="321"/>
      <c r="T15" s="246"/>
      <c r="U15" s="247"/>
      <c r="V15" s="248"/>
      <c r="W15" s="249"/>
      <c r="X15" s="250"/>
      <c r="Y15" s="244">
        <f t="shared" si="4"/>
        <v>0</v>
      </c>
      <c r="Z15" s="251">
        <f t="shared" si="5"/>
        <v>0</v>
      </c>
      <c r="AA15" s="247"/>
      <c r="AB15" s="241"/>
      <c r="AC15" s="243"/>
    </row>
    <row r="16" spans="1:29" x14ac:dyDescent="0.25">
      <c r="A16" s="128">
        <v>9</v>
      </c>
      <c r="B16" s="260"/>
      <c r="C16" s="258"/>
      <c r="D16" s="258"/>
      <c r="E16" s="259"/>
      <c r="F16" s="259"/>
      <c r="G16" s="259"/>
      <c r="H16" s="259"/>
      <c r="I16" s="129">
        <f t="shared" si="0"/>
        <v>0</v>
      </c>
      <c r="J16" s="259"/>
      <c r="K16" s="258" t="str">
        <f t="shared" si="1"/>
        <v/>
      </c>
      <c r="M16" s="335"/>
      <c r="N16" s="336" t="str">
        <f t="shared" si="2"/>
        <v/>
      </c>
      <c r="O16" s="337"/>
      <c r="P16" s="130">
        <f t="shared" si="3"/>
        <v>0</v>
      </c>
      <c r="Q16" s="338"/>
      <c r="S16" s="321"/>
      <c r="T16" s="246"/>
      <c r="U16" s="247"/>
      <c r="V16" s="248"/>
      <c r="W16" s="249"/>
      <c r="X16" s="250"/>
      <c r="Y16" s="244">
        <f t="shared" si="4"/>
        <v>0</v>
      </c>
      <c r="Z16" s="251">
        <f t="shared" si="5"/>
        <v>0</v>
      </c>
      <c r="AA16" s="247"/>
      <c r="AB16" s="241"/>
      <c r="AC16" s="243"/>
    </row>
    <row r="17" spans="1:29" x14ac:dyDescent="0.25">
      <c r="A17" s="128">
        <v>10</v>
      </c>
      <c r="B17" s="261"/>
      <c r="C17" s="258"/>
      <c r="D17" s="258"/>
      <c r="E17" s="259"/>
      <c r="F17" s="259"/>
      <c r="G17" s="259"/>
      <c r="H17" s="259"/>
      <c r="I17" s="129">
        <f t="shared" si="0"/>
        <v>0</v>
      </c>
      <c r="J17" s="259"/>
      <c r="K17" s="258" t="str">
        <f t="shared" si="1"/>
        <v/>
      </c>
      <c r="M17" s="335"/>
      <c r="N17" s="336" t="str">
        <f t="shared" si="2"/>
        <v/>
      </c>
      <c r="O17" s="337"/>
      <c r="P17" s="130">
        <f t="shared" si="3"/>
        <v>0</v>
      </c>
      <c r="Q17" s="338"/>
      <c r="S17" s="321"/>
      <c r="T17" s="246"/>
      <c r="U17" s="247"/>
      <c r="V17" s="248"/>
      <c r="W17" s="249"/>
      <c r="X17" s="250"/>
      <c r="Y17" s="244">
        <f t="shared" si="4"/>
        <v>0</v>
      </c>
      <c r="Z17" s="251">
        <f t="shared" si="5"/>
        <v>0</v>
      </c>
      <c r="AA17" s="247"/>
      <c r="AB17" s="241"/>
      <c r="AC17" s="243"/>
    </row>
    <row r="18" spans="1:29" x14ac:dyDescent="0.25">
      <c r="A18" s="128">
        <v>11</v>
      </c>
      <c r="B18" s="257"/>
      <c r="C18" s="258"/>
      <c r="D18" s="258"/>
      <c r="E18" s="259"/>
      <c r="F18" s="259"/>
      <c r="G18" s="259"/>
      <c r="H18" s="259"/>
      <c r="I18" s="129">
        <f t="shared" si="0"/>
        <v>0</v>
      </c>
      <c r="J18" s="259"/>
      <c r="K18" s="258" t="str">
        <f t="shared" si="1"/>
        <v/>
      </c>
      <c r="M18" s="335"/>
      <c r="N18" s="336" t="str">
        <f t="shared" si="2"/>
        <v/>
      </c>
      <c r="O18" s="337"/>
      <c r="P18" s="130">
        <f t="shared" si="3"/>
        <v>0</v>
      </c>
      <c r="Q18" s="338"/>
      <c r="S18" s="321"/>
      <c r="T18" s="246"/>
      <c r="U18" s="247"/>
      <c r="V18" s="248"/>
      <c r="W18" s="249"/>
      <c r="X18" s="250"/>
      <c r="Y18" s="244">
        <f t="shared" si="4"/>
        <v>0</v>
      </c>
      <c r="Z18" s="251">
        <f t="shared" si="5"/>
        <v>0</v>
      </c>
      <c r="AA18" s="247"/>
      <c r="AB18" s="241"/>
      <c r="AC18" s="243"/>
    </row>
    <row r="19" spans="1:29" x14ac:dyDescent="0.25">
      <c r="A19" s="128">
        <v>12</v>
      </c>
      <c r="B19" s="260"/>
      <c r="C19" s="258"/>
      <c r="D19" s="258"/>
      <c r="E19" s="259"/>
      <c r="F19" s="259"/>
      <c r="G19" s="259"/>
      <c r="H19" s="259"/>
      <c r="I19" s="129">
        <f t="shared" si="0"/>
        <v>0</v>
      </c>
      <c r="J19" s="259"/>
      <c r="K19" s="258" t="str">
        <f t="shared" si="1"/>
        <v/>
      </c>
      <c r="M19" s="335"/>
      <c r="N19" s="336" t="str">
        <f t="shared" si="2"/>
        <v/>
      </c>
      <c r="O19" s="337"/>
      <c r="P19" s="130">
        <f t="shared" si="3"/>
        <v>0</v>
      </c>
      <c r="Q19" s="338"/>
      <c r="S19" s="321"/>
      <c r="T19" s="246"/>
      <c r="U19" s="247"/>
      <c r="V19" s="248"/>
      <c r="W19" s="249"/>
      <c r="X19" s="250"/>
      <c r="Y19" s="244">
        <f t="shared" si="4"/>
        <v>0</v>
      </c>
      <c r="Z19" s="251">
        <f t="shared" si="5"/>
        <v>0</v>
      </c>
      <c r="AA19" s="247"/>
      <c r="AB19" s="241"/>
      <c r="AC19" s="243"/>
    </row>
    <row r="20" spans="1:29" x14ac:dyDescent="0.25">
      <c r="A20" s="128">
        <v>13</v>
      </c>
      <c r="B20" s="260"/>
      <c r="C20" s="258"/>
      <c r="D20" s="258"/>
      <c r="E20" s="259"/>
      <c r="F20" s="259"/>
      <c r="G20" s="259"/>
      <c r="H20" s="259"/>
      <c r="I20" s="129">
        <f t="shared" si="0"/>
        <v>0</v>
      </c>
      <c r="J20" s="259"/>
      <c r="K20" s="258" t="str">
        <f t="shared" si="1"/>
        <v/>
      </c>
      <c r="M20" s="335"/>
      <c r="N20" s="336" t="str">
        <f t="shared" si="2"/>
        <v/>
      </c>
      <c r="O20" s="337"/>
      <c r="P20" s="130">
        <f t="shared" si="3"/>
        <v>0</v>
      </c>
      <c r="Q20" s="338"/>
      <c r="S20" s="321"/>
      <c r="T20" s="246"/>
      <c r="U20" s="247"/>
      <c r="V20" s="248"/>
      <c r="W20" s="249"/>
      <c r="X20" s="250"/>
      <c r="Y20" s="244">
        <f t="shared" si="4"/>
        <v>0</v>
      </c>
      <c r="Z20" s="251">
        <f t="shared" si="5"/>
        <v>0</v>
      </c>
      <c r="AA20" s="247"/>
      <c r="AB20" s="241"/>
      <c r="AC20" s="243"/>
    </row>
    <row r="21" spans="1:29" x14ac:dyDescent="0.25">
      <c r="A21" s="128">
        <v>14</v>
      </c>
      <c r="B21" s="260"/>
      <c r="C21" s="258"/>
      <c r="D21" s="258"/>
      <c r="E21" s="259"/>
      <c r="F21" s="259"/>
      <c r="G21" s="259"/>
      <c r="H21" s="259"/>
      <c r="I21" s="129">
        <f t="shared" si="0"/>
        <v>0</v>
      </c>
      <c r="J21" s="259"/>
      <c r="K21" s="258" t="str">
        <f t="shared" si="1"/>
        <v/>
      </c>
      <c r="M21" s="335"/>
      <c r="N21" s="336" t="str">
        <f t="shared" si="2"/>
        <v/>
      </c>
      <c r="O21" s="337"/>
      <c r="P21" s="130">
        <f t="shared" si="3"/>
        <v>0</v>
      </c>
      <c r="Q21" s="338"/>
      <c r="S21" s="321"/>
      <c r="T21" s="246"/>
      <c r="U21" s="247"/>
      <c r="V21" s="248"/>
      <c r="W21" s="249"/>
      <c r="X21" s="250"/>
      <c r="Y21" s="244">
        <f t="shared" si="4"/>
        <v>0</v>
      </c>
      <c r="Z21" s="251">
        <f t="shared" si="5"/>
        <v>0</v>
      </c>
      <c r="AA21" s="247"/>
      <c r="AB21" s="241"/>
      <c r="AC21" s="243"/>
    </row>
    <row r="22" spans="1:29" x14ac:dyDescent="0.25">
      <c r="A22" s="128">
        <v>15</v>
      </c>
      <c r="B22" s="261"/>
      <c r="C22" s="258"/>
      <c r="D22" s="258"/>
      <c r="E22" s="259"/>
      <c r="F22" s="259"/>
      <c r="G22" s="259"/>
      <c r="H22" s="259"/>
      <c r="I22" s="129">
        <f t="shared" si="0"/>
        <v>0</v>
      </c>
      <c r="J22" s="259"/>
      <c r="K22" s="258" t="str">
        <f t="shared" si="1"/>
        <v/>
      </c>
      <c r="M22" s="335"/>
      <c r="N22" s="336" t="str">
        <f t="shared" si="2"/>
        <v/>
      </c>
      <c r="O22" s="337"/>
      <c r="P22" s="130">
        <f t="shared" si="3"/>
        <v>0</v>
      </c>
      <c r="Q22" s="338"/>
      <c r="S22" s="321"/>
      <c r="T22" s="246"/>
      <c r="U22" s="247"/>
      <c r="V22" s="248"/>
      <c r="W22" s="249"/>
      <c r="X22" s="250"/>
      <c r="Y22" s="244">
        <f t="shared" si="4"/>
        <v>0</v>
      </c>
      <c r="Z22" s="251">
        <f t="shared" si="5"/>
        <v>0</v>
      </c>
      <c r="AA22" s="247"/>
      <c r="AB22" s="241"/>
      <c r="AC22" s="243"/>
    </row>
    <row r="23" spans="1:29" x14ac:dyDescent="0.25">
      <c r="A23" s="128">
        <v>16</v>
      </c>
      <c r="B23" s="257"/>
      <c r="C23" s="258"/>
      <c r="D23" s="258"/>
      <c r="E23" s="259"/>
      <c r="F23" s="259"/>
      <c r="G23" s="259"/>
      <c r="H23" s="259"/>
      <c r="I23" s="129">
        <f t="shared" si="0"/>
        <v>0</v>
      </c>
      <c r="J23" s="259"/>
      <c r="K23" s="258" t="str">
        <f t="shared" si="1"/>
        <v/>
      </c>
      <c r="M23" s="335"/>
      <c r="N23" s="336" t="str">
        <f t="shared" si="2"/>
        <v/>
      </c>
      <c r="O23" s="337"/>
      <c r="P23" s="130">
        <f t="shared" si="3"/>
        <v>0</v>
      </c>
      <c r="Q23" s="338"/>
      <c r="S23" s="321"/>
      <c r="T23" s="246"/>
      <c r="U23" s="247"/>
      <c r="V23" s="248"/>
      <c r="W23" s="249"/>
      <c r="X23" s="250"/>
      <c r="Y23" s="244">
        <f t="shared" si="4"/>
        <v>0</v>
      </c>
      <c r="Z23" s="251">
        <f t="shared" si="5"/>
        <v>0</v>
      </c>
      <c r="AA23" s="247"/>
      <c r="AB23" s="241"/>
      <c r="AC23" s="243"/>
    </row>
    <row r="24" spans="1:29" x14ac:dyDescent="0.25">
      <c r="A24" s="128">
        <v>17</v>
      </c>
      <c r="B24" s="260"/>
      <c r="C24" s="258"/>
      <c r="D24" s="258"/>
      <c r="E24" s="259"/>
      <c r="F24" s="259"/>
      <c r="G24" s="259"/>
      <c r="H24" s="259"/>
      <c r="I24" s="129">
        <f t="shared" si="0"/>
        <v>0</v>
      </c>
      <c r="J24" s="259"/>
      <c r="K24" s="258" t="str">
        <f t="shared" si="1"/>
        <v/>
      </c>
      <c r="M24" s="335"/>
      <c r="N24" s="336" t="str">
        <f t="shared" si="2"/>
        <v/>
      </c>
      <c r="O24" s="337"/>
      <c r="P24" s="130">
        <f t="shared" si="3"/>
        <v>0</v>
      </c>
      <c r="Q24" s="338"/>
      <c r="S24" s="321"/>
      <c r="T24" s="246"/>
      <c r="U24" s="247"/>
      <c r="V24" s="248"/>
      <c r="W24" s="249"/>
      <c r="X24" s="250"/>
      <c r="Y24" s="244">
        <f t="shared" si="4"/>
        <v>0</v>
      </c>
      <c r="Z24" s="251">
        <f t="shared" si="5"/>
        <v>0</v>
      </c>
      <c r="AA24" s="247"/>
      <c r="AB24" s="241"/>
      <c r="AC24" s="243"/>
    </row>
    <row r="25" spans="1:29" x14ac:dyDescent="0.25">
      <c r="A25" s="128">
        <v>18</v>
      </c>
      <c r="B25" s="260"/>
      <c r="C25" s="258"/>
      <c r="D25" s="258"/>
      <c r="E25" s="259"/>
      <c r="F25" s="259"/>
      <c r="G25" s="259"/>
      <c r="H25" s="259"/>
      <c r="I25" s="129">
        <f t="shared" si="0"/>
        <v>0</v>
      </c>
      <c r="J25" s="259"/>
      <c r="K25" s="258" t="str">
        <f t="shared" si="1"/>
        <v/>
      </c>
      <c r="M25" s="335"/>
      <c r="N25" s="336" t="str">
        <f t="shared" si="2"/>
        <v/>
      </c>
      <c r="O25" s="337"/>
      <c r="P25" s="130">
        <f t="shared" si="3"/>
        <v>0</v>
      </c>
      <c r="Q25" s="338"/>
      <c r="S25" s="321"/>
      <c r="T25" s="246"/>
      <c r="U25" s="247"/>
      <c r="V25" s="248"/>
      <c r="W25" s="249"/>
      <c r="X25" s="250"/>
      <c r="Y25" s="244">
        <f t="shared" si="4"/>
        <v>0</v>
      </c>
      <c r="Z25" s="251">
        <f t="shared" si="5"/>
        <v>0</v>
      </c>
      <c r="AA25" s="247"/>
      <c r="AB25" s="241"/>
      <c r="AC25" s="243"/>
    </row>
    <row r="26" spans="1:29" x14ac:dyDescent="0.25">
      <c r="A26" s="128">
        <v>19</v>
      </c>
      <c r="B26" s="260"/>
      <c r="C26" s="258"/>
      <c r="D26" s="258"/>
      <c r="E26" s="259"/>
      <c r="F26" s="259"/>
      <c r="G26" s="259"/>
      <c r="H26" s="259"/>
      <c r="I26" s="129">
        <f t="shared" si="0"/>
        <v>0</v>
      </c>
      <c r="J26" s="259"/>
      <c r="K26" s="258" t="str">
        <f t="shared" si="1"/>
        <v/>
      </c>
      <c r="M26" s="335"/>
      <c r="N26" s="336" t="str">
        <f t="shared" si="2"/>
        <v/>
      </c>
      <c r="O26" s="337"/>
      <c r="P26" s="130">
        <f t="shared" si="3"/>
        <v>0</v>
      </c>
      <c r="Q26" s="338"/>
      <c r="S26" s="321"/>
      <c r="T26" s="246"/>
      <c r="U26" s="247"/>
      <c r="V26" s="248"/>
      <c r="W26" s="249"/>
      <c r="X26" s="250"/>
      <c r="Y26" s="244">
        <f t="shared" si="4"/>
        <v>0</v>
      </c>
      <c r="Z26" s="251">
        <f t="shared" si="5"/>
        <v>0</v>
      </c>
      <c r="AA26" s="247"/>
      <c r="AB26" s="241"/>
      <c r="AC26" s="243"/>
    </row>
    <row r="27" spans="1:29" x14ac:dyDescent="0.25">
      <c r="A27" s="128">
        <v>20</v>
      </c>
      <c r="B27" s="261"/>
      <c r="C27" s="258"/>
      <c r="D27" s="258"/>
      <c r="E27" s="259"/>
      <c r="F27" s="259"/>
      <c r="G27" s="259"/>
      <c r="H27" s="259"/>
      <c r="I27" s="129">
        <f t="shared" si="0"/>
        <v>0</v>
      </c>
      <c r="J27" s="259"/>
      <c r="K27" s="258" t="str">
        <f t="shared" si="1"/>
        <v/>
      </c>
      <c r="M27" s="335"/>
      <c r="N27" s="336" t="str">
        <f t="shared" si="2"/>
        <v/>
      </c>
      <c r="O27" s="337"/>
      <c r="P27" s="130">
        <f t="shared" si="3"/>
        <v>0</v>
      </c>
      <c r="Q27" s="338"/>
      <c r="S27" s="321"/>
      <c r="T27" s="246"/>
      <c r="U27" s="247"/>
      <c r="V27" s="248"/>
      <c r="W27" s="249"/>
      <c r="X27" s="250"/>
      <c r="Y27" s="244">
        <f t="shared" si="4"/>
        <v>0</v>
      </c>
      <c r="Z27" s="251">
        <f t="shared" si="5"/>
        <v>0</v>
      </c>
      <c r="AA27" s="247"/>
      <c r="AB27" s="241"/>
      <c r="AC27" s="243"/>
    </row>
    <row r="28" spans="1:29" x14ac:dyDescent="0.25">
      <c r="A28" s="128">
        <v>21</v>
      </c>
      <c r="B28" s="257"/>
      <c r="C28" s="258"/>
      <c r="D28" s="258"/>
      <c r="E28" s="259"/>
      <c r="F28" s="259"/>
      <c r="G28" s="259"/>
      <c r="H28" s="259"/>
      <c r="I28" s="129">
        <f t="shared" si="0"/>
        <v>0</v>
      </c>
      <c r="J28" s="259"/>
      <c r="K28" s="258" t="str">
        <f t="shared" si="1"/>
        <v/>
      </c>
      <c r="M28" s="335"/>
      <c r="N28" s="336" t="str">
        <f t="shared" si="2"/>
        <v/>
      </c>
      <c r="O28" s="337"/>
      <c r="P28" s="130">
        <f t="shared" si="3"/>
        <v>0</v>
      </c>
      <c r="Q28" s="338"/>
      <c r="S28" s="321"/>
      <c r="T28" s="246"/>
      <c r="U28" s="247"/>
      <c r="V28" s="248"/>
      <c r="W28" s="249"/>
      <c r="X28" s="250"/>
      <c r="Y28" s="244">
        <f t="shared" si="4"/>
        <v>0</v>
      </c>
      <c r="Z28" s="251">
        <f t="shared" si="5"/>
        <v>0</v>
      </c>
      <c r="AA28" s="247"/>
      <c r="AB28" s="241"/>
      <c r="AC28" s="243"/>
    </row>
    <row r="29" spans="1:29" x14ac:dyDescent="0.25">
      <c r="A29" s="128">
        <v>22</v>
      </c>
      <c r="B29" s="260"/>
      <c r="C29" s="258"/>
      <c r="D29" s="258"/>
      <c r="E29" s="259"/>
      <c r="F29" s="259"/>
      <c r="G29" s="259"/>
      <c r="H29" s="259"/>
      <c r="I29" s="129">
        <f t="shared" si="0"/>
        <v>0</v>
      </c>
      <c r="J29" s="259"/>
      <c r="K29" s="258" t="str">
        <f t="shared" si="1"/>
        <v/>
      </c>
      <c r="M29" s="335"/>
      <c r="N29" s="336" t="str">
        <f t="shared" si="2"/>
        <v/>
      </c>
      <c r="O29" s="337"/>
      <c r="P29" s="130">
        <f t="shared" si="3"/>
        <v>0</v>
      </c>
      <c r="Q29" s="338"/>
      <c r="S29" s="321"/>
      <c r="T29" s="246"/>
      <c r="U29" s="247"/>
      <c r="V29" s="248"/>
      <c r="W29" s="249"/>
      <c r="X29" s="250"/>
      <c r="Y29" s="244">
        <f t="shared" si="4"/>
        <v>0</v>
      </c>
      <c r="Z29" s="251">
        <f t="shared" si="5"/>
        <v>0</v>
      </c>
      <c r="AA29" s="247"/>
      <c r="AB29" s="241"/>
      <c r="AC29" s="243"/>
    </row>
    <row r="30" spans="1:29" x14ac:dyDescent="0.25">
      <c r="A30" s="128">
        <v>23</v>
      </c>
      <c r="B30" s="260"/>
      <c r="C30" s="258"/>
      <c r="D30" s="258"/>
      <c r="E30" s="259"/>
      <c r="F30" s="259"/>
      <c r="G30" s="259"/>
      <c r="H30" s="259"/>
      <c r="I30" s="129">
        <f t="shared" si="0"/>
        <v>0</v>
      </c>
      <c r="J30" s="259"/>
      <c r="K30" s="258" t="str">
        <f t="shared" si="1"/>
        <v/>
      </c>
      <c r="M30" s="335"/>
      <c r="N30" s="336" t="str">
        <f t="shared" si="2"/>
        <v/>
      </c>
      <c r="O30" s="337"/>
      <c r="P30" s="130">
        <f t="shared" si="3"/>
        <v>0</v>
      </c>
      <c r="Q30" s="338"/>
      <c r="S30" s="321"/>
      <c r="T30" s="246"/>
      <c r="U30" s="247"/>
      <c r="V30" s="248"/>
      <c r="W30" s="249"/>
      <c r="X30" s="250"/>
      <c r="Y30" s="244">
        <f t="shared" si="4"/>
        <v>0</v>
      </c>
      <c r="Z30" s="251">
        <f t="shared" si="5"/>
        <v>0</v>
      </c>
      <c r="AA30" s="247"/>
      <c r="AB30" s="241"/>
      <c r="AC30" s="243"/>
    </row>
    <row r="31" spans="1:29" x14ac:dyDescent="0.25">
      <c r="A31" s="128">
        <v>24</v>
      </c>
      <c r="B31" s="260"/>
      <c r="C31" s="258"/>
      <c r="D31" s="258"/>
      <c r="E31" s="259"/>
      <c r="F31" s="259"/>
      <c r="G31" s="259"/>
      <c r="H31" s="259"/>
      <c r="I31" s="129">
        <f t="shared" si="0"/>
        <v>0</v>
      </c>
      <c r="J31" s="259"/>
      <c r="K31" s="258" t="str">
        <f t="shared" si="1"/>
        <v/>
      </c>
      <c r="M31" s="335"/>
      <c r="N31" s="336" t="str">
        <f t="shared" si="2"/>
        <v/>
      </c>
      <c r="O31" s="337"/>
      <c r="P31" s="130">
        <f t="shared" si="3"/>
        <v>0</v>
      </c>
      <c r="Q31" s="338"/>
      <c r="S31" s="321"/>
      <c r="T31" s="246"/>
      <c r="U31" s="247"/>
      <c r="V31" s="248"/>
      <c r="W31" s="249"/>
      <c r="X31" s="250"/>
      <c r="Y31" s="244">
        <f t="shared" si="4"/>
        <v>0</v>
      </c>
      <c r="Z31" s="251">
        <f t="shared" si="5"/>
        <v>0</v>
      </c>
      <c r="AA31" s="247"/>
      <c r="AB31" s="241"/>
      <c r="AC31" s="243"/>
    </row>
    <row r="32" spans="1:29" x14ac:dyDescent="0.25">
      <c r="A32" s="128">
        <v>25</v>
      </c>
      <c r="B32" s="261"/>
      <c r="C32" s="258"/>
      <c r="D32" s="258"/>
      <c r="E32" s="259"/>
      <c r="F32" s="259"/>
      <c r="G32" s="259"/>
      <c r="H32" s="259"/>
      <c r="I32" s="129">
        <f t="shared" si="0"/>
        <v>0</v>
      </c>
      <c r="J32" s="259"/>
      <c r="K32" s="258" t="str">
        <f t="shared" si="1"/>
        <v/>
      </c>
      <c r="M32" s="335"/>
      <c r="N32" s="336" t="str">
        <f t="shared" si="2"/>
        <v/>
      </c>
      <c r="O32" s="337"/>
      <c r="P32" s="130">
        <f t="shared" si="3"/>
        <v>0</v>
      </c>
      <c r="Q32" s="338"/>
      <c r="S32" s="321"/>
      <c r="T32" s="246"/>
      <c r="U32" s="247"/>
      <c r="V32" s="248"/>
      <c r="W32" s="249"/>
      <c r="X32" s="250"/>
      <c r="Y32" s="244">
        <f t="shared" si="4"/>
        <v>0</v>
      </c>
      <c r="Z32" s="251">
        <f t="shared" si="5"/>
        <v>0</v>
      </c>
      <c r="AA32" s="247"/>
      <c r="AB32" s="241"/>
      <c r="AC32" s="243"/>
    </row>
    <row r="33" spans="1:29" hidden="1" outlineLevel="1" x14ac:dyDescent="0.25">
      <c r="A33" s="128">
        <v>26</v>
      </c>
      <c r="B33" s="257"/>
      <c r="C33" s="258"/>
      <c r="D33" s="258"/>
      <c r="E33" s="259"/>
      <c r="F33" s="259"/>
      <c r="G33" s="259"/>
      <c r="H33" s="259"/>
      <c r="I33" s="129">
        <f t="shared" si="0"/>
        <v>0</v>
      </c>
      <c r="J33" s="259"/>
      <c r="K33" s="258" t="str">
        <f t="shared" si="1"/>
        <v/>
      </c>
      <c r="M33" s="335"/>
      <c r="N33" s="336" t="str">
        <f t="shared" si="2"/>
        <v/>
      </c>
      <c r="O33" s="337"/>
      <c r="P33" s="130">
        <f t="shared" si="3"/>
        <v>0</v>
      </c>
      <c r="Q33" s="338"/>
      <c r="S33" s="321"/>
      <c r="T33" s="246"/>
      <c r="U33" s="247"/>
      <c r="V33" s="248"/>
      <c r="W33" s="249"/>
      <c r="X33" s="250"/>
      <c r="Y33" s="244">
        <f t="shared" si="4"/>
        <v>0</v>
      </c>
      <c r="Z33" s="251">
        <f t="shared" si="5"/>
        <v>0</v>
      </c>
      <c r="AA33" s="247"/>
      <c r="AB33" s="241"/>
      <c r="AC33" s="243"/>
    </row>
    <row r="34" spans="1:29" hidden="1" outlineLevel="1" x14ac:dyDescent="0.25">
      <c r="A34" s="128">
        <v>27</v>
      </c>
      <c r="B34" s="260"/>
      <c r="C34" s="258"/>
      <c r="D34" s="258"/>
      <c r="E34" s="259"/>
      <c r="F34" s="259"/>
      <c r="G34" s="259"/>
      <c r="H34" s="259"/>
      <c r="I34" s="129">
        <f t="shared" si="0"/>
        <v>0</v>
      </c>
      <c r="J34" s="259"/>
      <c r="K34" s="258" t="str">
        <f t="shared" si="1"/>
        <v/>
      </c>
      <c r="M34" s="335"/>
      <c r="N34" s="336" t="str">
        <f t="shared" si="2"/>
        <v/>
      </c>
      <c r="O34" s="337"/>
      <c r="P34" s="130">
        <f t="shared" si="3"/>
        <v>0</v>
      </c>
      <c r="Q34" s="338"/>
      <c r="S34" s="321"/>
      <c r="T34" s="246"/>
      <c r="U34" s="247"/>
      <c r="V34" s="248"/>
      <c r="W34" s="249"/>
      <c r="X34" s="250"/>
      <c r="Y34" s="244">
        <f t="shared" si="4"/>
        <v>0</v>
      </c>
      <c r="Z34" s="251">
        <f t="shared" si="5"/>
        <v>0</v>
      </c>
      <c r="AA34" s="247"/>
      <c r="AB34" s="241"/>
      <c r="AC34" s="243"/>
    </row>
    <row r="35" spans="1:29" hidden="1" outlineLevel="1" x14ac:dyDescent="0.25">
      <c r="A35" s="128">
        <v>28</v>
      </c>
      <c r="B35" s="260"/>
      <c r="C35" s="258"/>
      <c r="D35" s="258"/>
      <c r="E35" s="259"/>
      <c r="F35" s="259"/>
      <c r="G35" s="259"/>
      <c r="H35" s="259"/>
      <c r="I35" s="129">
        <f t="shared" si="0"/>
        <v>0</v>
      </c>
      <c r="J35" s="259"/>
      <c r="K35" s="258" t="str">
        <f t="shared" si="1"/>
        <v/>
      </c>
      <c r="M35" s="335"/>
      <c r="N35" s="336" t="str">
        <f t="shared" si="2"/>
        <v/>
      </c>
      <c r="O35" s="337"/>
      <c r="P35" s="130">
        <f t="shared" si="3"/>
        <v>0</v>
      </c>
      <c r="Q35" s="338"/>
      <c r="S35" s="321"/>
      <c r="T35" s="246"/>
      <c r="U35" s="247"/>
      <c r="V35" s="248"/>
      <c r="W35" s="249"/>
      <c r="X35" s="250"/>
      <c r="Y35" s="244">
        <f t="shared" si="4"/>
        <v>0</v>
      </c>
      <c r="Z35" s="251">
        <f t="shared" si="5"/>
        <v>0</v>
      </c>
      <c r="AA35" s="247"/>
      <c r="AB35" s="241"/>
      <c r="AC35" s="243"/>
    </row>
    <row r="36" spans="1:29" hidden="1" outlineLevel="1" x14ac:dyDescent="0.25">
      <c r="A36" s="128">
        <v>29</v>
      </c>
      <c r="B36" s="260"/>
      <c r="C36" s="258"/>
      <c r="D36" s="258"/>
      <c r="E36" s="259"/>
      <c r="F36" s="259"/>
      <c r="G36" s="259"/>
      <c r="H36" s="259"/>
      <c r="I36" s="129">
        <f t="shared" si="0"/>
        <v>0</v>
      </c>
      <c r="J36" s="259"/>
      <c r="K36" s="258" t="str">
        <f t="shared" si="1"/>
        <v/>
      </c>
      <c r="M36" s="335"/>
      <c r="N36" s="336" t="str">
        <f t="shared" si="2"/>
        <v/>
      </c>
      <c r="O36" s="337"/>
      <c r="P36" s="130">
        <f t="shared" si="3"/>
        <v>0</v>
      </c>
      <c r="Q36" s="338"/>
      <c r="S36" s="321"/>
      <c r="T36" s="246"/>
      <c r="U36" s="247"/>
      <c r="V36" s="248"/>
      <c r="W36" s="249"/>
      <c r="X36" s="250"/>
      <c r="Y36" s="244">
        <f t="shared" si="4"/>
        <v>0</v>
      </c>
      <c r="Z36" s="251">
        <f t="shared" si="5"/>
        <v>0</v>
      </c>
      <c r="AA36" s="247"/>
      <c r="AB36" s="241"/>
      <c r="AC36" s="243"/>
    </row>
    <row r="37" spans="1:29" hidden="1" outlineLevel="1" x14ac:dyDescent="0.25">
      <c r="A37" s="128">
        <v>30</v>
      </c>
      <c r="B37" s="261"/>
      <c r="C37" s="258"/>
      <c r="D37" s="258"/>
      <c r="E37" s="259"/>
      <c r="F37" s="259"/>
      <c r="G37" s="259"/>
      <c r="H37" s="259"/>
      <c r="I37" s="129">
        <f t="shared" si="0"/>
        <v>0</v>
      </c>
      <c r="J37" s="259"/>
      <c r="K37" s="258" t="str">
        <f t="shared" si="1"/>
        <v/>
      </c>
      <c r="M37" s="335"/>
      <c r="N37" s="336" t="str">
        <f t="shared" si="2"/>
        <v/>
      </c>
      <c r="O37" s="337"/>
      <c r="P37" s="130">
        <f t="shared" si="3"/>
        <v>0</v>
      </c>
      <c r="Q37" s="338"/>
      <c r="S37" s="321"/>
      <c r="T37" s="246"/>
      <c r="U37" s="247"/>
      <c r="V37" s="248"/>
      <c r="W37" s="249"/>
      <c r="X37" s="250"/>
      <c r="Y37" s="244">
        <f t="shared" si="4"/>
        <v>0</v>
      </c>
      <c r="Z37" s="251">
        <f t="shared" si="5"/>
        <v>0</v>
      </c>
      <c r="AA37" s="247"/>
      <c r="AB37" s="241"/>
      <c r="AC37" s="243"/>
    </row>
    <row r="38" spans="1:29" hidden="1" outlineLevel="1" x14ac:dyDescent="0.25">
      <c r="A38" s="128">
        <v>31</v>
      </c>
      <c r="B38" s="257"/>
      <c r="C38" s="258"/>
      <c r="D38" s="258"/>
      <c r="E38" s="259"/>
      <c r="F38" s="259"/>
      <c r="G38" s="259"/>
      <c r="H38" s="259"/>
      <c r="I38" s="129">
        <f t="shared" si="0"/>
        <v>0</v>
      </c>
      <c r="J38" s="259"/>
      <c r="K38" s="258" t="str">
        <f t="shared" si="1"/>
        <v/>
      </c>
      <c r="M38" s="335"/>
      <c r="N38" s="336" t="str">
        <f t="shared" si="2"/>
        <v/>
      </c>
      <c r="O38" s="337"/>
      <c r="P38" s="130">
        <f t="shared" si="3"/>
        <v>0</v>
      </c>
      <c r="Q38" s="338"/>
      <c r="S38" s="321"/>
      <c r="T38" s="246"/>
      <c r="U38" s="247"/>
      <c r="V38" s="248"/>
      <c r="W38" s="249"/>
      <c r="X38" s="250"/>
      <c r="Y38" s="244">
        <f t="shared" si="4"/>
        <v>0</v>
      </c>
      <c r="Z38" s="251">
        <f t="shared" si="5"/>
        <v>0</v>
      </c>
      <c r="AA38" s="247"/>
      <c r="AB38" s="241"/>
      <c r="AC38" s="243"/>
    </row>
    <row r="39" spans="1:29" hidden="1" outlineLevel="1" x14ac:dyDescent="0.25">
      <c r="A39" s="128">
        <v>32</v>
      </c>
      <c r="B39" s="260"/>
      <c r="C39" s="258"/>
      <c r="D39" s="258"/>
      <c r="E39" s="259"/>
      <c r="F39" s="259"/>
      <c r="G39" s="259"/>
      <c r="H39" s="259"/>
      <c r="I39" s="129">
        <f t="shared" si="0"/>
        <v>0</v>
      </c>
      <c r="J39" s="259"/>
      <c r="K39" s="258" t="str">
        <f t="shared" si="1"/>
        <v/>
      </c>
      <c r="M39" s="335"/>
      <c r="N39" s="336" t="str">
        <f t="shared" si="2"/>
        <v/>
      </c>
      <c r="O39" s="337"/>
      <c r="P39" s="130">
        <f t="shared" si="3"/>
        <v>0</v>
      </c>
      <c r="Q39" s="338"/>
      <c r="S39" s="321"/>
      <c r="T39" s="246"/>
      <c r="U39" s="247"/>
      <c r="V39" s="248"/>
      <c r="W39" s="249"/>
      <c r="X39" s="250"/>
      <c r="Y39" s="244">
        <f t="shared" si="4"/>
        <v>0</v>
      </c>
      <c r="Z39" s="251">
        <f t="shared" si="5"/>
        <v>0</v>
      </c>
      <c r="AA39" s="247"/>
      <c r="AB39" s="241"/>
      <c r="AC39" s="243"/>
    </row>
    <row r="40" spans="1:29" hidden="1" outlineLevel="1" x14ac:dyDescent="0.25">
      <c r="A40" s="128">
        <v>33</v>
      </c>
      <c r="B40" s="260"/>
      <c r="C40" s="258"/>
      <c r="D40" s="258"/>
      <c r="E40" s="259"/>
      <c r="F40" s="259"/>
      <c r="G40" s="259"/>
      <c r="H40" s="259"/>
      <c r="I40" s="129">
        <f t="shared" ref="I40:I67" si="6">IF(J40="",(MIN($F40:$H40))*E40,IF(J40="הצעה א",F40*E40,IF(J40="הצעה ב",G40*E40,H40*E40)))</f>
        <v>0</v>
      </c>
      <c r="J40" s="259"/>
      <c r="K40" s="258" t="str">
        <f t="shared" ref="K40:K66" si="7">IF(J40="","","יש להסביר חריגה")</f>
        <v/>
      </c>
      <c r="M40" s="335"/>
      <c r="N40" s="336" t="str">
        <f t="shared" ref="N40:N66" si="8">IF(ISBLANK(M40),"",IF(M40="מאשר",E40,0))</f>
        <v/>
      </c>
      <c r="O40" s="337"/>
      <c r="P40" s="130">
        <f t="shared" ref="P40:P67" si="9">IFERROR(IF(O40="מאושר",N40*I40/E40,N40*MIN(F40:H40)),0)</f>
        <v>0</v>
      </c>
      <c r="Q40" s="338"/>
      <c r="S40" s="321"/>
      <c r="T40" s="246"/>
      <c r="U40" s="247"/>
      <c r="V40" s="248"/>
      <c r="W40" s="249"/>
      <c r="X40" s="250"/>
      <c r="Y40" s="244">
        <f t="shared" si="4"/>
        <v>0</v>
      </c>
      <c r="Z40" s="251">
        <f t="shared" si="5"/>
        <v>0</v>
      </c>
      <c r="AA40" s="247"/>
      <c r="AB40" s="241"/>
      <c r="AC40" s="243"/>
    </row>
    <row r="41" spans="1:29" hidden="1" outlineLevel="1" x14ac:dyDescent="0.25">
      <c r="A41" s="128">
        <v>34</v>
      </c>
      <c r="B41" s="260"/>
      <c r="C41" s="258"/>
      <c r="D41" s="258"/>
      <c r="E41" s="259"/>
      <c r="F41" s="259"/>
      <c r="G41" s="259"/>
      <c r="H41" s="259"/>
      <c r="I41" s="129">
        <f t="shared" si="6"/>
        <v>0</v>
      </c>
      <c r="J41" s="259"/>
      <c r="K41" s="258" t="str">
        <f t="shared" si="7"/>
        <v/>
      </c>
      <c r="M41" s="335"/>
      <c r="N41" s="336" t="str">
        <f t="shared" si="8"/>
        <v/>
      </c>
      <c r="O41" s="337"/>
      <c r="P41" s="130">
        <f t="shared" si="9"/>
        <v>0</v>
      </c>
      <c r="Q41" s="338"/>
      <c r="S41" s="321"/>
      <c r="T41" s="246"/>
      <c r="U41" s="247"/>
      <c r="V41" s="248"/>
      <c r="W41" s="249"/>
      <c r="X41" s="250"/>
      <c r="Y41" s="244">
        <f t="shared" si="4"/>
        <v>0</v>
      </c>
      <c r="Z41" s="251">
        <f t="shared" si="5"/>
        <v>0</v>
      </c>
      <c r="AA41" s="247"/>
      <c r="AB41" s="241"/>
      <c r="AC41" s="243"/>
    </row>
    <row r="42" spans="1:29" hidden="1" outlineLevel="1" x14ac:dyDescent="0.25">
      <c r="A42" s="128">
        <v>35</v>
      </c>
      <c r="B42" s="261"/>
      <c r="C42" s="258"/>
      <c r="D42" s="258"/>
      <c r="E42" s="259"/>
      <c r="F42" s="259"/>
      <c r="G42" s="259"/>
      <c r="H42" s="259"/>
      <c r="I42" s="129">
        <f t="shared" si="6"/>
        <v>0</v>
      </c>
      <c r="J42" s="259"/>
      <c r="K42" s="258" t="str">
        <f t="shared" si="7"/>
        <v/>
      </c>
      <c r="M42" s="335"/>
      <c r="N42" s="336" t="str">
        <f t="shared" si="8"/>
        <v/>
      </c>
      <c r="O42" s="337"/>
      <c r="P42" s="130">
        <f t="shared" si="9"/>
        <v>0</v>
      </c>
      <c r="Q42" s="338"/>
      <c r="S42" s="321"/>
      <c r="T42" s="246"/>
      <c r="U42" s="247"/>
      <c r="V42" s="248"/>
      <c r="W42" s="249"/>
      <c r="X42" s="250"/>
      <c r="Y42" s="244">
        <f t="shared" si="4"/>
        <v>0</v>
      </c>
      <c r="Z42" s="251">
        <f t="shared" si="5"/>
        <v>0</v>
      </c>
      <c r="AA42" s="247"/>
      <c r="AB42" s="241"/>
      <c r="AC42" s="243"/>
    </row>
    <row r="43" spans="1:29" hidden="1" outlineLevel="1" x14ac:dyDescent="0.25">
      <c r="A43" s="128">
        <v>36</v>
      </c>
      <c r="B43" s="257"/>
      <c r="C43" s="258"/>
      <c r="D43" s="258"/>
      <c r="E43" s="259"/>
      <c r="F43" s="259"/>
      <c r="G43" s="259"/>
      <c r="H43" s="259"/>
      <c r="I43" s="129">
        <f t="shared" si="6"/>
        <v>0</v>
      </c>
      <c r="J43" s="259"/>
      <c r="K43" s="258" t="str">
        <f t="shared" si="7"/>
        <v/>
      </c>
      <c r="M43" s="335"/>
      <c r="N43" s="336" t="str">
        <f t="shared" si="8"/>
        <v/>
      </c>
      <c r="O43" s="337"/>
      <c r="P43" s="130">
        <f t="shared" si="9"/>
        <v>0</v>
      </c>
      <c r="Q43" s="338"/>
      <c r="S43" s="321"/>
      <c r="T43" s="246"/>
      <c r="U43" s="247"/>
      <c r="V43" s="248"/>
      <c r="W43" s="249"/>
      <c r="X43" s="250"/>
      <c r="Y43" s="244">
        <f t="shared" si="4"/>
        <v>0</v>
      </c>
      <c r="Z43" s="251">
        <f t="shared" si="5"/>
        <v>0</v>
      </c>
      <c r="AA43" s="247"/>
      <c r="AB43" s="241"/>
      <c r="AC43" s="243"/>
    </row>
    <row r="44" spans="1:29" hidden="1" outlineLevel="1" x14ac:dyDescent="0.25">
      <c r="A44" s="128">
        <v>37</v>
      </c>
      <c r="B44" s="260"/>
      <c r="C44" s="258"/>
      <c r="D44" s="258"/>
      <c r="E44" s="259"/>
      <c r="F44" s="259"/>
      <c r="G44" s="259"/>
      <c r="H44" s="259"/>
      <c r="I44" s="129">
        <f t="shared" si="6"/>
        <v>0</v>
      </c>
      <c r="J44" s="259"/>
      <c r="K44" s="258" t="str">
        <f t="shared" si="7"/>
        <v/>
      </c>
      <c r="M44" s="335"/>
      <c r="N44" s="336" t="str">
        <f t="shared" si="8"/>
        <v/>
      </c>
      <c r="O44" s="337"/>
      <c r="P44" s="130">
        <f t="shared" si="9"/>
        <v>0</v>
      </c>
      <c r="Q44" s="338"/>
      <c r="S44" s="321"/>
      <c r="T44" s="246"/>
      <c r="U44" s="247"/>
      <c r="V44" s="248"/>
      <c r="W44" s="249"/>
      <c r="X44" s="250"/>
      <c r="Y44" s="244">
        <f t="shared" si="4"/>
        <v>0</v>
      </c>
      <c r="Z44" s="251">
        <f t="shared" si="5"/>
        <v>0</v>
      </c>
      <c r="AA44" s="247"/>
      <c r="AB44" s="241"/>
      <c r="AC44" s="243"/>
    </row>
    <row r="45" spans="1:29" hidden="1" outlineLevel="1" x14ac:dyDescent="0.25">
      <c r="A45" s="128">
        <v>38</v>
      </c>
      <c r="B45" s="260"/>
      <c r="C45" s="258"/>
      <c r="D45" s="258"/>
      <c r="E45" s="259"/>
      <c r="F45" s="259"/>
      <c r="G45" s="259"/>
      <c r="H45" s="259"/>
      <c r="I45" s="129">
        <f t="shared" si="6"/>
        <v>0</v>
      </c>
      <c r="J45" s="259"/>
      <c r="K45" s="258" t="str">
        <f t="shared" si="7"/>
        <v/>
      </c>
      <c r="M45" s="335"/>
      <c r="N45" s="336" t="str">
        <f t="shared" si="8"/>
        <v/>
      </c>
      <c r="O45" s="337"/>
      <c r="P45" s="130">
        <f t="shared" si="9"/>
        <v>0</v>
      </c>
      <c r="Q45" s="338"/>
      <c r="S45" s="321"/>
      <c r="T45" s="246"/>
      <c r="U45" s="247"/>
      <c r="V45" s="248"/>
      <c r="W45" s="249"/>
      <c r="X45" s="250"/>
      <c r="Y45" s="244">
        <f t="shared" si="4"/>
        <v>0</v>
      </c>
      <c r="Z45" s="251">
        <f t="shared" si="5"/>
        <v>0</v>
      </c>
      <c r="AA45" s="247"/>
      <c r="AB45" s="241"/>
      <c r="AC45" s="243"/>
    </row>
    <row r="46" spans="1:29" hidden="1" outlineLevel="1" x14ac:dyDescent="0.25">
      <c r="A46" s="128">
        <v>39</v>
      </c>
      <c r="B46" s="260"/>
      <c r="C46" s="258"/>
      <c r="D46" s="258"/>
      <c r="E46" s="259"/>
      <c r="F46" s="259"/>
      <c r="G46" s="259"/>
      <c r="H46" s="259"/>
      <c r="I46" s="129">
        <f t="shared" si="6"/>
        <v>0</v>
      </c>
      <c r="J46" s="259"/>
      <c r="K46" s="258" t="str">
        <f t="shared" si="7"/>
        <v/>
      </c>
      <c r="M46" s="335"/>
      <c r="N46" s="336" t="str">
        <f t="shared" si="8"/>
        <v/>
      </c>
      <c r="O46" s="337"/>
      <c r="P46" s="130">
        <f t="shared" si="9"/>
        <v>0</v>
      </c>
      <c r="Q46" s="338"/>
      <c r="S46" s="321"/>
      <c r="T46" s="246"/>
      <c r="U46" s="247"/>
      <c r="V46" s="248"/>
      <c r="W46" s="249"/>
      <c r="X46" s="250"/>
      <c r="Y46" s="244">
        <f t="shared" si="4"/>
        <v>0</v>
      </c>
      <c r="Z46" s="251">
        <f t="shared" si="5"/>
        <v>0</v>
      </c>
      <c r="AA46" s="247"/>
      <c r="AB46" s="241"/>
      <c r="AC46" s="243"/>
    </row>
    <row r="47" spans="1:29" hidden="1" outlineLevel="1" x14ac:dyDescent="0.25">
      <c r="A47" s="128">
        <v>40</v>
      </c>
      <c r="B47" s="261"/>
      <c r="C47" s="258"/>
      <c r="D47" s="258"/>
      <c r="E47" s="259"/>
      <c r="F47" s="259"/>
      <c r="G47" s="259"/>
      <c r="H47" s="259"/>
      <c r="I47" s="129">
        <f t="shared" si="6"/>
        <v>0</v>
      </c>
      <c r="J47" s="259"/>
      <c r="K47" s="258" t="str">
        <f t="shared" si="7"/>
        <v/>
      </c>
      <c r="M47" s="335"/>
      <c r="N47" s="336" t="str">
        <f t="shared" si="8"/>
        <v/>
      </c>
      <c r="O47" s="337"/>
      <c r="P47" s="130">
        <f t="shared" si="9"/>
        <v>0</v>
      </c>
      <c r="Q47" s="338"/>
      <c r="S47" s="321"/>
      <c r="T47" s="246"/>
      <c r="U47" s="247"/>
      <c r="V47" s="248"/>
      <c r="W47" s="249"/>
      <c r="X47" s="250"/>
      <c r="Y47" s="244">
        <f t="shared" si="4"/>
        <v>0</v>
      </c>
      <c r="Z47" s="251">
        <f t="shared" si="5"/>
        <v>0</v>
      </c>
      <c r="AA47" s="247"/>
      <c r="AB47" s="241"/>
      <c r="AC47" s="243"/>
    </row>
    <row r="48" spans="1:29" hidden="1" outlineLevel="1" x14ac:dyDescent="0.25">
      <c r="A48" s="128">
        <v>41</v>
      </c>
      <c r="B48" s="257"/>
      <c r="C48" s="258"/>
      <c r="D48" s="258"/>
      <c r="E48" s="259"/>
      <c r="F48" s="259"/>
      <c r="G48" s="259"/>
      <c r="H48" s="259"/>
      <c r="I48" s="129">
        <f t="shared" si="6"/>
        <v>0</v>
      </c>
      <c r="J48" s="259"/>
      <c r="K48" s="258" t="str">
        <f t="shared" si="7"/>
        <v/>
      </c>
      <c r="M48" s="335"/>
      <c r="N48" s="336" t="str">
        <f t="shared" si="8"/>
        <v/>
      </c>
      <c r="O48" s="337"/>
      <c r="P48" s="130">
        <f t="shared" si="9"/>
        <v>0</v>
      </c>
      <c r="Q48" s="338"/>
      <c r="S48" s="321"/>
      <c r="T48" s="246"/>
      <c r="U48" s="247"/>
      <c r="V48" s="248"/>
      <c r="W48" s="249"/>
      <c r="X48" s="250"/>
      <c r="Y48" s="244">
        <f t="shared" si="4"/>
        <v>0</v>
      </c>
      <c r="Z48" s="251">
        <f t="shared" si="5"/>
        <v>0</v>
      </c>
      <c r="AA48" s="247"/>
      <c r="AB48" s="241"/>
      <c r="AC48" s="243"/>
    </row>
    <row r="49" spans="1:29" hidden="1" outlineLevel="1" x14ac:dyDescent="0.25">
      <c r="A49" s="128">
        <v>42</v>
      </c>
      <c r="B49" s="260"/>
      <c r="C49" s="258"/>
      <c r="D49" s="258"/>
      <c r="E49" s="259"/>
      <c r="F49" s="259"/>
      <c r="G49" s="259"/>
      <c r="H49" s="259"/>
      <c r="I49" s="129">
        <f t="shared" si="6"/>
        <v>0</v>
      </c>
      <c r="J49" s="259"/>
      <c r="K49" s="258" t="str">
        <f t="shared" si="7"/>
        <v/>
      </c>
      <c r="M49" s="335"/>
      <c r="N49" s="336" t="str">
        <f t="shared" si="8"/>
        <v/>
      </c>
      <c r="O49" s="337"/>
      <c r="P49" s="130">
        <f t="shared" si="9"/>
        <v>0</v>
      </c>
      <c r="Q49" s="338"/>
      <c r="S49" s="321"/>
      <c r="T49" s="246"/>
      <c r="U49" s="247"/>
      <c r="V49" s="248"/>
      <c r="W49" s="249"/>
      <c r="X49" s="250"/>
      <c r="Y49" s="244">
        <f t="shared" si="4"/>
        <v>0</v>
      </c>
      <c r="Z49" s="251">
        <f t="shared" si="5"/>
        <v>0</v>
      </c>
      <c r="AA49" s="247"/>
      <c r="AB49" s="241"/>
      <c r="AC49" s="243"/>
    </row>
    <row r="50" spans="1:29" hidden="1" outlineLevel="1" x14ac:dyDescent="0.25">
      <c r="A50" s="128">
        <v>43</v>
      </c>
      <c r="B50" s="260"/>
      <c r="C50" s="258"/>
      <c r="D50" s="258"/>
      <c r="E50" s="259"/>
      <c r="F50" s="259"/>
      <c r="G50" s="259"/>
      <c r="H50" s="259"/>
      <c r="I50" s="129">
        <f t="shared" si="6"/>
        <v>0</v>
      </c>
      <c r="J50" s="259"/>
      <c r="K50" s="258" t="str">
        <f t="shared" si="7"/>
        <v/>
      </c>
      <c r="M50" s="335"/>
      <c r="N50" s="336" t="str">
        <f t="shared" si="8"/>
        <v/>
      </c>
      <c r="O50" s="337"/>
      <c r="P50" s="130">
        <f t="shared" si="9"/>
        <v>0</v>
      </c>
      <c r="Q50" s="338"/>
      <c r="S50" s="321"/>
      <c r="T50" s="246"/>
      <c r="U50" s="247"/>
      <c r="V50" s="248"/>
      <c r="W50" s="249"/>
      <c r="X50" s="250"/>
      <c r="Y50" s="244">
        <f t="shared" si="4"/>
        <v>0</v>
      </c>
      <c r="Z50" s="251">
        <f t="shared" si="5"/>
        <v>0</v>
      </c>
      <c r="AA50" s="247"/>
      <c r="AB50" s="241"/>
      <c r="AC50" s="243"/>
    </row>
    <row r="51" spans="1:29" hidden="1" outlineLevel="1" x14ac:dyDescent="0.25">
      <c r="A51" s="128">
        <v>44</v>
      </c>
      <c r="B51" s="260"/>
      <c r="C51" s="258"/>
      <c r="D51" s="258"/>
      <c r="E51" s="259"/>
      <c r="F51" s="259"/>
      <c r="G51" s="259"/>
      <c r="H51" s="259"/>
      <c r="I51" s="129">
        <f t="shared" si="6"/>
        <v>0</v>
      </c>
      <c r="J51" s="259"/>
      <c r="K51" s="258" t="str">
        <f t="shared" si="7"/>
        <v/>
      </c>
      <c r="M51" s="335"/>
      <c r="N51" s="336" t="str">
        <f t="shared" si="8"/>
        <v/>
      </c>
      <c r="O51" s="337"/>
      <c r="P51" s="130">
        <f t="shared" si="9"/>
        <v>0</v>
      </c>
      <c r="Q51" s="338"/>
      <c r="S51" s="321"/>
      <c r="T51" s="246"/>
      <c r="U51" s="247"/>
      <c r="V51" s="248"/>
      <c r="W51" s="249"/>
      <c r="X51" s="250"/>
      <c r="Y51" s="244">
        <f t="shared" si="4"/>
        <v>0</v>
      </c>
      <c r="Z51" s="251">
        <f t="shared" si="5"/>
        <v>0</v>
      </c>
      <c r="AA51" s="247"/>
      <c r="AB51" s="241"/>
      <c r="AC51" s="243"/>
    </row>
    <row r="52" spans="1:29" hidden="1" outlineLevel="1" x14ac:dyDescent="0.25">
      <c r="A52" s="128">
        <v>45</v>
      </c>
      <c r="B52" s="261"/>
      <c r="C52" s="258"/>
      <c r="D52" s="258"/>
      <c r="E52" s="259"/>
      <c r="F52" s="259"/>
      <c r="G52" s="259"/>
      <c r="H52" s="259"/>
      <c r="I52" s="129">
        <f t="shared" si="6"/>
        <v>0</v>
      </c>
      <c r="J52" s="259"/>
      <c r="K52" s="258" t="str">
        <f t="shared" si="7"/>
        <v/>
      </c>
      <c r="M52" s="335"/>
      <c r="N52" s="336" t="str">
        <f t="shared" si="8"/>
        <v/>
      </c>
      <c r="O52" s="337"/>
      <c r="P52" s="130">
        <f t="shared" si="9"/>
        <v>0</v>
      </c>
      <c r="Q52" s="338"/>
      <c r="S52" s="321"/>
      <c r="T52" s="246"/>
      <c r="U52" s="247"/>
      <c r="V52" s="248"/>
      <c r="W52" s="249"/>
      <c r="X52" s="250"/>
      <c r="Y52" s="244">
        <f t="shared" si="4"/>
        <v>0</v>
      </c>
      <c r="Z52" s="251">
        <f t="shared" si="5"/>
        <v>0</v>
      </c>
      <c r="AA52" s="247"/>
      <c r="AB52" s="241"/>
      <c r="AC52" s="243"/>
    </row>
    <row r="53" spans="1:29" hidden="1" outlineLevel="1" x14ac:dyDescent="0.25">
      <c r="A53" s="128">
        <v>46</v>
      </c>
      <c r="B53" s="257"/>
      <c r="C53" s="258"/>
      <c r="D53" s="258"/>
      <c r="E53" s="259"/>
      <c r="F53" s="259"/>
      <c r="G53" s="259"/>
      <c r="H53" s="259"/>
      <c r="I53" s="129">
        <f t="shared" si="6"/>
        <v>0</v>
      </c>
      <c r="J53" s="259"/>
      <c r="K53" s="258" t="str">
        <f t="shared" si="7"/>
        <v/>
      </c>
      <c r="M53" s="335"/>
      <c r="N53" s="336" t="str">
        <f t="shared" si="8"/>
        <v/>
      </c>
      <c r="O53" s="337"/>
      <c r="P53" s="130">
        <f t="shared" si="9"/>
        <v>0</v>
      </c>
      <c r="Q53" s="338"/>
      <c r="S53" s="321"/>
      <c r="T53" s="246"/>
      <c r="U53" s="247"/>
      <c r="V53" s="248"/>
      <c r="W53" s="249"/>
      <c r="X53" s="250"/>
      <c r="Y53" s="244">
        <f t="shared" si="4"/>
        <v>0</v>
      </c>
      <c r="Z53" s="251">
        <f t="shared" si="5"/>
        <v>0</v>
      </c>
      <c r="AA53" s="247"/>
      <c r="AB53" s="241"/>
      <c r="AC53" s="243"/>
    </row>
    <row r="54" spans="1:29" hidden="1" outlineLevel="1" x14ac:dyDescent="0.25">
      <c r="A54" s="128">
        <v>47</v>
      </c>
      <c r="B54" s="260"/>
      <c r="C54" s="258"/>
      <c r="D54" s="258"/>
      <c r="E54" s="259"/>
      <c r="F54" s="259"/>
      <c r="G54" s="259"/>
      <c r="H54" s="259"/>
      <c r="I54" s="129">
        <f t="shared" si="6"/>
        <v>0</v>
      </c>
      <c r="J54" s="259"/>
      <c r="K54" s="258" t="str">
        <f t="shared" si="7"/>
        <v/>
      </c>
      <c r="M54" s="335"/>
      <c r="N54" s="336" t="str">
        <f t="shared" si="8"/>
        <v/>
      </c>
      <c r="O54" s="337"/>
      <c r="P54" s="130">
        <f t="shared" si="9"/>
        <v>0</v>
      </c>
      <c r="Q54" s="338"/>
      <c r="S54" s="321"/>
      <c r="T54" s="246"/>
      <c r="U54" s="247"/>
      <c r="V54" s="248"/>
      <c r="W54" s="249"/>
      <c r="X54" s="250"/>
      <c r="Y54" s="244">
        <f t="shared" si="4"/>
        <v>0</v>
      </c>
      <c r="Z54" s="251">
        <f t="shared" si="5"/>
        <v>0</v>
      </c>
      <c r="AA54" s="247"/>
      <c r="AB54" s="241"/>
      <c r="AC54" s="243"/>
    </row>
    <row r="55" spans="1:29" hidden="1" outlineLevel="1" x14ac:dyDescent="0.25">
      <c r="A55" s="128">
        <v>48</v>
      </c>
      <c r="B55" s="260"/>
      <c r="C55" s="258"/>
      <c r="D55" s="258"/>
      <c r="E55" s="259"/>
      <c r="F55" s="259"/>
      <c r="G55" s="259"/>
      <c r="H55" s="259"/>
      <c r="I55" s="129">
        <f t="shared" si="6"/>
        <v>0</v>
      </c>
      <c r="J55" s="259"/>
      <c r="K55" s="258" t="str">
        <f t="shared" si="7"/>
        <v/>
      </c>
      <c r="M55" s="335"/>
      <c r="N55" s="336" t="str">
        <f t="shared" si="8"/>
        <v/>
      </c>
      <c r="O55" s="337"/>
      <c r="P55" s="130">
        <f t="shared" si="9"/>
        <v>0</v>
      </c>
      <c r="Q55" s="338"/>
      <c r="S55" s="321"/>
      <c r="T55" s="246"/>
      <c r="U55" s="247"/>
      <c r="V55" s="248"/>
      <c r="W55" s="249"/>
      <c r="X55" s="250"/>
      <c r="Y55" s="244">
        <f t="shared" si="4"/>
        <v>0</v>
      </c>
      <c r="Z55" s="251">
        <f t="shared" si="5"/>
        <v>0</v>
      </c>
      <c r="AA55" s="247"/>
      <c r="AB55" s="241"/>
      <c r="AC55" s="243"/>
    </row>
    <row r="56" spans="1:29" hidden="1" outlineLevel="1" x14ac:dyDescent="0.25">
      <c r="A56" s="128">
        <v>49</v>
      </c>
      <c r="B56" s="260"/>
      <c r="C56" s="258"/>
      <c r="D56" s="258"/>
      <c r="E56" s="259"/>
      <c r="F56" s="259"/>
      <c r="G56" s="259"/>
      <c r="H56" s="259"/>
      <c r="I56" s="129">
        <f t="shared" si="6"/>
        <v>0</v>
      </c>
      <c r="J56" s="259"/>
      <c r="K56" s="258" t="str">
        <f t="shared" si="7"/>
        <v/>
      </c>
      <c r="M56" s="335"/>
      <c r="N56" s="336" t="str">
        <f t="shared" si="8"/>
        <v/>
      </c>
      <c r="O56" s="337"/>
      <c r="P56" s="130">
        <f t="shared" si="9"/>
        <v>0</v>
      </c>
      <c r="Q56" s="338"/>
      <c r="S56" s="321"/>
      <c r="T56" s="246"/>
      <c r="U56" s="247"/>
      <c r="V56" s="248"/>
      <c r="W56" s="249"/>
      <c r="X56" s="250"/>
      <c r="Y56" s="244">
        <f t="shared" si="4"/>
        <v>0</v>
      </c>
      <c r="Z56" s="251">
        <f t="shared" si="5"/>
        <v>0</v>
      </c>
      <c r="AA56" s="247"/>
      <c r="AB56" s="241"/>
      <c r="AC56" s="243"/>
    </row>
    <row r="57" spans="1:29" hidden="1" outlineLevel="1" x14ac:dyDescent="0.25">
      <c r="A57" s="128">
        <v>50</v>
      </c>
      <c r="B57" s="261"/>
      <c r="C57" s="258"/>
      <c r="D57" s="258"/>
      <c r="E57" s="259"/>
      <c r="F57" s="259"/>
      <c r="G57" s="259"/>
      <c r="H57" s="259"/>
      <c r="I57" s="129">
        <f t="shared" si="6"/>
        <v>0</v>
      </c>
      <c r="J57" s="259"/>
      <c r="K57" s="258" t="str">
        <f t="shared" si="7"/>
        <v/>
      </c>
      <c r="M57" s="335"/>
      <c r="N57" s="336" t="str">
        <f t="shared" si="8"/>
        <v/>
      </c>
      <c r="O57" s="337"/>
      <c r="P57" s="130">
        <f t="shared" si="9"/>
        <v>0</v>
      </c>
      <c r="Q57" s="338"/>
      <c r="S57" s="321"/>
      <c r="T57" s="246"/>
      <c r="U57" s="247"/>
      <c r="V57" s="248"/>
      <c r="W57" s="249"/>
      <c r="X57" s="250"/>
      <c r="Y57" s="244">
        <f t="shared" si="4"/>
        <v>0</v>
      </c>
      <c r="Z57" s="251">
        <f t="shared" si="5"/>
        <v>0</v>
      </c>
      <c r="AA57" s="247"/>
      <c r="AB57" s="241"/>
      <c r="AC57" s="243"/>
    </row>
    <row r="58" spans="1:29" hidden="1" outlineLevel="1" x14ac:dyDescent="0.25">
      <c r="A58" s="128">
        <v>51</v>
      </c>
      <c r="B58" s="257"/>
      <c r="C58" s="258"/>
      <c r="D58" s="258"/>
      <c r="E58" s="259"/>
      <c r="F58" s="259"/>
      <c r="G58" s="259"/>
      <c r="H58" s="259"/>
      <c r="I58" s="129">
        <f t="shared" si="6"/>
        <v>0</v>
      </c>
      <c r="J58" s="259"/>
      <c r="K58" s="258" t="str">
        <f t="shared" si="7"/>
        <v/>
      </c>
      <c r="M58" s="335"/>
      <c r="N58" s="336" t="str">
        <f t="shared" si="8"/>
        <v/>
      </c>
      <c r="O58" s="337"/>
      <c r="P58" s="130">
        <f t="shared" si="9"/>
        <v>0</v>
      </c>
      <c r="Q58" s="338"/>
      <c r="S58" s="321"/>
      <c r="T58" s="246"/>
      <c r="U58" s="247"/>
      <c r="V58" s="248"/>
      <c r="W58" s="249"/>
      <c r="X58" s="250"/>
      <c r="Y58" s="244">
        <f t="shared" si="4"/>
        <v>0</v>
      </c>
      <c r="Z58" s="251">
        <f t="shared" si="5"/>
        <v>0</v>
      </c>
      <c r="AA58" s="247"/>
      <c r="AB58" s="241"/>
      <c r="AC58" s="243"/>
    </row>
    <row r="59" spans="1:29" hidden="1" outlineLevel="1" x14ac:dyDescent="0.25">
      <c r="A59" s="128">
        <v>52</v>
      </c>
      <c r="B59" s="260"/>
      <c r="C59" s="258"/>
      <c r="D59" s="258"/>
      <c r="E59" s="259"/>
      <c r="F59" s="259"/>
      <c r="G59" s="259"/>
      <c r="H59" s="259"/>
      <c r="I59" s="129">
        <f t="shared" si="6"/>
        <v>0</v>
      </c>
      <c r="J59" s="259"/>
      <c r="K59" s="258" t="str">
        <f t="shared" si="7"/>
        <v/>
      </c>
      <c r="M59" s="335"/>
      <c r="N59" s="336" t="str">
        <f t="shared" si="8"/>
        <v/>
      </c>
      <c r="O59" s="337"/>
      <c r="P59" s="130">
        <f t="shared" si="9"/>
        <v>0</v>
      </c>
      <c r="Q59" s="338"/>
      <c r="S59" s="321"/>
      <c r="T59" s="246"/>
      <c r="U59" s="247"/>
      <c r="V59" s="248"/>
      <c r="W59" s="249"/>
      <c r="X59" s="250"/>
      <c r="Y59" s="244">
        <f t="shared" si="4"/>
        <v>0</v>
      </c>
      <c r="Z59" s="251">
        <f t="shared" si="5"/>
        <v>0</v>
      </c>
      <c r="AA59" s="247"/>
      <c r="AB59" s="241"/>
      <c r="AC59" s="243"/>
    </row>
    <row r="60" spans="1:29" hidden="1" outlineLevel="1" x14ac:dyDescent="0.25">
      <c r="A60" s="128">
        <v>53</v>
      </c>
      <c r="B60" s="260"/>
      <c r="C60" s="258"/>
      <c r="D60" s="258"/>
      <c r="E60" s="259"/>
      <c r="F60" s="259"/>
      <c r="G60" s="259"/>
      <c r="H60" s="259"/>
      <c r="I60" s="129">
        <f t="shared" si="6"/>
        <v>0</v>
      </c>
      <c r="J60" s="259"/>
      <c r="K60" s="258" t="str">
        <f t="shared" si="7"/>
        <v/>
      </c>
      <c r="M60" s="335"/>
      <c r="N60" s="336" t="str">
        <f t="shared" si="8"/>
        <v/>
      </c>
      <c r="O60" s="337"/>
      <c r="P60" s="130">
        <f t="shared" si="9"/>
        <v>0</v>
      </c>
      <c r="Q60" s="338"/>
      <c r="S60" s="321"/>
      <c r="T60" s="246"/>
      <c r="U60" s="247"/>
      <c r="V60" s="248"/>
      <c r="W60" s="249"/>
      <c r="X60" s="250"/>
      <c r="Y60" s="244">
        <f t="shared" si="4"/>
        <v>0</v>
      </c>
      <c r="Z60" s="251">
        <f t="shared" si="5"/>
        <v>0</v>
      </c>
      <c r="AA60" s="247"/>
      <c r="AB60" s="241"/>
      <c r="AC60" s="243"/>
    </row>
    <row r="61" spans="1:29" hidden="1" outlineLevel="1" x14ac:dyDescent="0.25">
      <c r="A61" s="128">
        <v>54</v>
      </c>
      <c r="B61" s="260"/>
      <c r="C61" s="258"/>
      <c r="D61" s="258"/>
      <c r="E61" s="259"/>
      <c r="F61" s="259"/>
      <c r="G61" s="259"/>
      <c r="H61" s="259"/>
      <c r="I61" s="129">
        <f t="shared" si="6"/>
        <v>0</v>
      </c>
      <c r="J61" s="259"/>
      <c r="K61" s="258" t="str">
        <f t="shared" si="7"/>
        <v/>
      </c>
      <c r="M61" s="335"/>
      <c r="N61" s="336" t="str">
        <f t="shared" si="8"/>
        <v/>
      </c>
      <c r="O61" s="337"/>
      <c r="P61" s="130">
        <f t="shared" si="9"/>
        <v>0</v>
      </c>
      <c r="Q61" s="338"/>
      <c r="S61" s="321"/>
      <c r="T61" s="246"/>
      <c r="U61" s="247"/>
      <c r="V61" s="248"/>
      <c r="W61" s="249"/>
      <c r="X61" s="250"/>
      <c r="Y61" s="244">
        <f t="shared" si="4"/>
        <v>0</v>
      </c>
      <c r="Z61" s="251">
        <f t="shared" si="5"/>
        <v>0</v>
      </c>
      <c r="AA61" s="247"/>
      <c r="AB61" s="241"/>
      <c r="AC61" s="243"/>
    </row>
    <row r="62" spans="1:29" hidden="1" outlineLevel="1" x14ac:dyDescent="0.25">
      <c r="A62" s="128">
        <v>55</v>
      </c>
      <c r="B62" s="261"/>
      <c r="C62" s="258"/>
      <c r="D62" s="258"/>
      <c r="E62" s="259"/>
      <c r="F62" s="259"/>
      <c r="G62" s="259"/>
      <c r="H62" s="259"/>
      <c r="I62" s="129">
        <f t="shared" si="6"/>
        <v>0</v>
      </c>
      <c r="J62" s="259"/>
      <c r="K62" s="258" t="str">
        <f t="shared" si="7"/>
        <v/>
      </c>
      <c r="M62" s="335"/>
      <c r="N62" s="336" t="str">
        <f t="shared" si="8"/>
        <v/>
      </c>
      <c r="O62" s="337"/>
      <c r="P62" s="130">
        <f t="shared" si="9"/>
        <v>0</v>
      </c>
      <c r="Q62" s="338"/>
      <c r="S62" s="321"/>
      <c r="T62" s="246"/>
      <c r="U62" s="247"/>
      <c r="V62" s="248"/>
      <c r="W62" s="249"/>
      <c r="X62" s="250"/>
      <c r="Y62" s="244">
        <f t="shared" si="4"/>
        <v>0</v>
      </c>
      <c r="Z62" s="251">
        <f t="shared" si="5"/>
        <v>0</v>
      </c>
      <c r="AA62" s="247"/>
      <c r="AB62" s="241"/>
      <c r="AC62" s="243"/>
    </row>
    <row r="63" spans="1:29" hidden="1" outlineLevel="1" x14ac:dyDescent="0.25">
      <c r="A63" s="128">
        <v>56</v>
      </c>
      <c r="B63" s="257"/>
      <c r="C63" s="258"/>
      <c r="D63" s="258"/>
      <c r="E63" s="259"/>
      <c r="F63" s="259"/>
      <c r="G63" s="259"/>
      <c r="H63" s="259"/>
      <c r="I63" s="129">
        <f t="shared" si="6"/>
        <v>0</v>
      </c>
      <c r="J63" s="259"/>
      <c r="K63" s="258" t="str">
        <f t="shared" si="7"/>
        <v/>
      </c>
      <c r="M63" s="335"/>
      <c r="N63" s="336" t="str">
        <f t="shared" si="8"/>
        <v/>
      </c>
      <c r="O63" s="337"/>
      <c r="P63" s="130">
        <f t="shared" si="9"/>
        <v>0</v>
      </c>
      <c r="Q63" s="338"/>
      <c r="S63" s="321"/>
      <c r="T63" s="246"/>
      <c r="U63" s="247"/>
      <c r="V63" s="248"/>
      <c r="W63" s="249"/>
      <c r="X63" s="250"/>
      <c r="Y63" s="244">
        <f t="shared" si="4"/>
        <v>0</v>
      </c>
      <c r="Z63" s="251">
        <f t="shared" si="5"/>
        <v>0</v>
      </c>
      <c r="AA63" s="247"/>
      <c r="AB63" s="241"/>
      <c r="AC63" s="243"/>
    </row>
    <row r="64" spans="1:29" hidden="1" outlineLevel="1" x14ac:dyDescent="0.25">
      <c r="A64" s="128">
        <v>57</v>
      </c>
      <c r="B64" s="260"/>
      <c r="C64" s="258"/>
      <c r="D64" s="258"/>
      <c r="E64" s="259"/>
      <c r="F64" s="259"/>
      <c r="G64" s="259"/>
      <c r="H64" s="259"/>
      <c r="I64" s="129">
        <f t="shared" si="6"/>
        <v>0</v>
      </c>
      <c r="J64" s="259"/>
      <c r="K64" s="258" t="str">
        <f t="shared" si="7"/>
        <v/>
      </c>
      <c r="M64" s="335"/>
      <c r="N64" s="336" t="str">
        <f t="shared" si="8"/>
        <v/>
      </c>
      <c r="O64" s="337"/>
      <c r="P64" s="130">
        <f t="shared" si="9"/>
        <v>0</v>
      </c>
      <c r="Q64" s="338"/>
      <c r="S64" s="321"/>
      <c r="T64" s="246"/>
      <c r="U64" s="247"/>
      <c r="V64" s="248"/>
      <c r="W64" s="249"/>
      <c r="X64" s="250"/>
      <c r="Y64" s="244">
        <f t="shared" si="4"/>
        <v>0</v>
      </c>
      <c r="Z64" s="251">
        <f t="shared" si="5"/>
        <v>0</v>
      </c>
      <c r="AA64" s="247"/>
      <c r="AB64" s="241"/>
      <c r="AC64" s="243"/>
    </row>
    <row r="65" spans="1:29" hidden="1" outlineLevel="1" x14ac:dyDescent="0.25">
      <c r="A65" s="128">
        <v>58</v>
      </c>
      <c r="B65" s="260"/>
      <c r="C65" s="258"/>
      <c r="D65" s="258"/>
      <c r="E65" s="259"/>
      <c r="F65" s="259"/>
      <c r="G65" s="259"/>
      <c r="H65" s="259"/>
      <c r="I65" s="129">
        <f t="shared" si="6"/>
        <v>0</v>
      </c>
      <c r="J65" s="259"/>
      <c r="K65" s="258" t="str">
        <f t="shared" si="7"/>
        <v/>
      </c>
      <c r="M65" s="335"/>
      <c r="N65" s="336" t="str">
        <f t="shared" si="8"/>
        <v/>
      </c>
      <c r="O65" s="337"/>
      <c r="P65" s="130">
        <f t="shared" si="9"/>
        <v>0</v>
      </c>
      <c r="Q65" s="338"/>
      <c r="S65" s="321"/>
      <c r="T65" s="246"/>
      <c r="U65" s="247"/>
      <c r="V65" s="248"/>
      <c r="W65" s="249"/>
      <c r="X65" s="250"/>
      <c r="Y65" s="244">
        <f t="shared" si="4"/>
        <v>0</v>
      </c>
      <c r="Z65" s="251">
        <f t="shared" si="5"/>
        <v>0</v>
      </c>
      <c r="AA65" s="247"/>
      <c r="AB65" s="241"/>
      <c r="AC65" s="243"/>
    </row>
    <row r="66" spans="1:29" hidden="1" outlineLevel="1" x14ac:dyDescent="0.25">
      <c r="A66" s="128">
        <v>59</v>
      </c>
      <c r="B66" s="260"/>
      <c r="C66" s="258"/>
      <c r="D66" s="258"/>
      <c r="E66" s="259"/>
      <c r="F66" s="259"/>
      <c r="G66" s="259"/>
      <c r="H66" s="259"/>
      <c r="I66" s="129">
        <f t="shared" si="6"/>
        <v>0</v>
      </c>
      <c r="J66" s="259"/>
      <c r="K66" s="258" t="str">
        <f t="shared" si="7"/>
        <v/>
      </c>
      <c r="M66" s="335"/>
      <c r="N66" s="336" t="str">
        <f t="shared" si="8"/>
        <v/>
      </c>
      <c r="O66" s="337"/>
      <c r="P66" s="130">
        <f t="shared" si="9"/>
        <v>0</v>
      </c>
      <c r="Q66" s="338"/>
      <c r="S66" s="321"/>
      <c r="T66" s="246"/>
      <c r="U66" s="247"/>
      <c r="V66" s="248"/>
      <c r="W66" s="249"/>
      <c r="X66" s="250"/>
      <c r="Y66" s="244">
        <f t="shared" si="4"/>
        <v>0</v>
      </c>
      <c r="Z66" s="251">
        <f t="shared" si="5"/>
        <v>0</v>
      </c>
      <c r="AA66" s="247"/>
      <c r="AB66" s="241"/>
      <c r="AC66" s="243"/>
    </row>
    <row r="67" spans="1:29" hidden="1" outlineLevel="1" x14ac:dyDescent="0.25">
      <c r="A67" s="128">
        <v>60</v>
      </c>
      <c r="B67" s="261"/>
      <c r="C67" s="258"/>
      <c r="D67" s="258"/>
      <c r="E67" s="259"/>
      <c r="F67" s="259"/>
      <c r="G67" s="259"/>
      <c r="H67" s="259"/>
      <c r="I67" s="129">
        <f t="shared" si="6"/>
        <v>0</v>
      </c>
      <c r="J67" s="259"/>
      <c r="K67" s="258"/>
      <c r="M67" s="335"/>
      <c r="N67" s="336"/>
      <c r="O67" s="337"/>
      <c r="P67" s="130">
        <f t="shared" si="9"/>
        <v>0</v>
      </c>
      <c r="Q67" s="338"/>
      <c r="S67" s="321"/>
      <c r="T67" s="246"/>
      <c r="U67" s="247"/>
      <c r="V67" s="248"/>
      <c r="W67" s="249"/>
      <c r="X67" s="250"/>
      <c r="Y67" s="244">
        <f t="shared" si="4"/>
        <v>0</v>
      </c>
      <c r="Z67" s="251">
        <f t="shared" si="5"/>
        <v>0</v>
      </c>
      <c r="AA67" s="247"/>
      <c r="AB67" s="241"/>
      <c r="AC67" s="243"/>
    </row>
    <row r="68" spans="1:29" s="223" customFormat="1" collapsed="1" x14ac:dyDescent="0.25">
      <c r="A68" s="224"/>
      <c r="B68" s="225" t="s">
        <v>230</v>
      </c>
      <c r="C68" s="226"/>
      <c r="D68" s="226"/>
      <c r="E68" s="226"/>
      <c r="F68" s="226"/>
      <c r="G68" s="226"/>
      <c r="H68" s="227"/>
      <c r="I68" s="228">
        <f>SUM(I8:I67)</f>
        <v>0</v>
      </c>
      <c r="J68" s="229"/>
      <c r="K68" s="230"/>
      <c r="L68" s="231"/>
      <c r="M68" s="232"/>
      <c r="N68" s="233"/>
      <c r="O68" s="234"/>
      <c r="P68" s="235">
        <f>SUM(P8:P67)</f>
        <v>0</v>
      </c>
      <c r="Q68" s="232"/>
      <c r="S68" s="234">
        <f>SUM(S8:S67)</f>
        <v>0</v>
      </c>
      <c r="T68" s="270"/>
      <c r="U68" s="271"/>
      <c r="V68" s="272"/>
      <c r="W68" s="273"/>
      <c r="X68" s="234">
        <f>SUM(X8:X67)</f>
        <v>0</v>
      </c>
      <c r="Y68" s="244">
        <f>SUM(Y8:Y67)</f>
        <v>0</v>
      </c>
      <c r="Z68" s="251">
        <f t="shared" si="5"/>
        <v>0</v>
      </c>
      <c r="AA68" s="271"/>
      <c r="AB68" s="241"/>
      <c r="AC68" s="243"/>
    </row>
    <row r="69" spans="1:29" x14ac:dyDescent="0.25">
      <c r="B69" s="5"/>
      <c r="N69" s="13"/>
      <c r="P69" s="126"/>
    </row>
    <row r="70" spans="1:29" x14ac:dyDescent="0.25">
      <c r="B70" s="5" t="s">
        <v>201</v>
      </c>
      <c r="M70" s="4" t="s">
        <v>202</v>
      </c>
      <c r="N70" s="13"/>
      <c r="P70" s="126"/>
    </row>
    <row r="71" spans="1:29" x14ac:dyDescent="0.25">
      <c r="B71" s="5" t="s">
        <v>203</v>
      </c>
      <c r="M71" s="4" t="s">
        <v>204</v>
      </c>
      <c r="N71" s="13"/>
      <c r="P71" s="126"/>
    </row>
    <row r="72" spans="1:29" x14ac:dyDescent="0.25">
      <c r="B72" s="5" t="s">
        <v>205</v>
      </c>
      <c r="M72" s="4" t="s">
        <v>206</v>
      </c>
      <c r="N72" s="13"/>
      <c r="P72" s="126"/>
    </row>
    <row r="73" spans="1:29" x14ac:dyDescent="0.25">
      <c r="B73" s="5" t="s">
        <v>207</v>
      </c>
      <c r="M73" s="4" t="s">
        <v>208</v>
      </c>
      <c r="N73" s="13"/>
      <c r="P73" s="126"/>
    </row>
    <row r="74" spans="1:29" x14ac:dyDescent="0.25">
      <c r="B74" s="5" t="s">
        <v>209</v>
      </c>
      <c r="N74" s="13"/>
      <c r="P74" s="126"/>
    </row>
  </sheetData>
  <sheetProtection algorithmName="SHA-512" hashValue="M2NzTxtF7l9/RgbpmWmZ51WMtSrv70l1SM39E0EaFXetKorVwYXq775mTZwcvvxPmAWE9FE7bR6m7pSjP7Z6UQ==" saltValue="xI0Ftw8Li8l7YKFqSZ5jUg==" spinCount="100000" sheet="1" formatCells="0" formatColumns="0" formatRows="0"/>
  <conditionalFormatting sqref="S8:S67">
    <cfRule type="containsText" dxfId="1" priority="7" operator="containsText" text="נא להסביר חריגה כאן">
      <formula>NOT(ISERROR(SEARCH("נא להסביר חריגה כאן",S8)))</formula>
    </cfRule>
  </conditionalFormatting>
  <conditionalFormatting sqref="Y8:Z68">
    <cfRule type="cellIs" dxfId="0" priority="1" operator="greaterThan">
      <formula>0</formula>
    </cfRule>
  </conditionalFormatting>
  <dataValidations count="3">
    <dataValidation type="list" allowBlank="1" showInputMessage="1" showErrorMessage="1" sqref="O8:O67" xr:uid="{00000000-0002-0000-0700-000000000000}">
      <formula1>"מאושר,לא מאושר"</formula1>
      <formula2>0</formula2>
    </dataValidation>
    <dataValidation type="list" allowBlank="1" showInputMessage="1" showErrorMessage="1" sqref="J8:J67" xr:uid="{00000000-0002-0000-0700-000001000000}">
      <formula1>"הצעה א,הצעה ב,הצעה ג"</formula1>
      <formula2>0</formula2>
    </dataValidation>
    <dataValidation type="list" allowBlank="1" showInputMessage="1" showErrorMessage="1" sqref="M8:M67" xr:uid="{00000000-0002-0000-0700-000002000000}">
      <formula1>"מאשר,מאשר חלקי,לא מאשר"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G38"/>
  <sheetViews>
    <sheetView rightToLeft="1" zoomScale="80" zoomScaleNormal="80" workbookViewId="0">
      <selection activeCell="C15" sqref="C15"/>
    </sheetView>
  </sheetViews>
  <sheetFormatPr defaultColWidth="9.109375" defaultRowHeight="13.8" outlineLevelRow="1" outlineLevelCol="1" x14ac:dyDescent="0.25"/>
  <cols>
    <col min="1" max="1" width="2.88671875" style="5" customWidth="1"/>
    <col min="2" max="2" width="46.88671875" style="5" customWidth="1"/>
    <col min="3" max="3" width="22.6640625" style="5" customWidth="1"/>
    <col min="4" max="4" width="23.33203125" style="5" customWidth="1"/>
    <col min="5" max="5" width="31.88671875" style="5" hidden="1" customWidth="1" outlineLevel="1"/>
    <col min="6" max="6" width="26.88671875" style="5" hidden="1" customWidth="1" outlineLevel="1"/>
    <col min="7" max="7" width="9.109375" style="5" collapsed="1"/>
    <col min="8" max="16384" width="9.109375" style="5"/>
  </cols>
  <sheetData>
    <row r="1" spans="2:6" x14ac:dyDescent="0.25">
      <c r="B1" s="345" t="str">
        <f>פתיח!$B$3&amp;": גירסת "&amp;פתיח!$E$4</f>
        <v>תקן ציוד כללי למרכזי יום טיפוליים ולמסגרות מזדקנים לאנשים עם מוגבלות: גירסת 2 בספטמבר 2026</v>
      </c>
    </row>
    <row r="2" spans="2:6" x14ac:dyDescent="0.25">
      <c r="C2" s="131" t="s">
        <v>210</v>
      </c>
      <c r="D2" s="37">
        <f>'שאלון למילוי מגיש הבקשה-חובה'!G29</f>
        <v>0</v>
      </c>
    </row>
    <row r="3" spans="2:6" x14ac:dyDescent="0.25">
      <c r="C3" s="131" t="str">
        <f>'שאלון למילוי מגיש הבקשה-חובה'!C31</f>
        <v>קו עימות:</v>
      </c>
      <c r="D3" s="37">
        <f>'שאלון למילוי מגיש הבקשה-חובה'!G31</f>
        <v>0</v>
      </c>
    </row>
    <row r="4" spans="2:6" ht="15" customHeight="1" x14ac:dyDescent="0.3">
      <c r="B4" s="5" t="s">
        <v>211</v>
      </c>
      <c r="C4" s="303" t="s">
        <v>212</v>
      </c>
      <c r="D4" s="350"/>
    </row>
    <row r="5" spans="2:6" x14ac:dyDescent="0.25">
      <c r="B5" s="5" t="s">
        <v>213</v>
      </c>
      <c r="C5" s="214">
        <f>'שאלון למילוי מגיש הבקשה-חובה'!G5</f>
        <v>0</v>
      </c>
    </row>
    <row r="6" spans="2:6" ht="17.399999999999999" x14ac:dyDescent="0.3">
      <c r="B6" s="344" t="s">
        <v>55</v>
      </c>
      <c r="C6" s="349">
        <f>'שאלון למילוי מגיש הבקשה-חובה'!G7</f>
        <v>0</v>
      </c>
    </row>
    <row r="7" spans="2:6" ht="17.399999999999999" x14ac:dyDescent="0.3">
      <c r="B7" s="349" t="s">
        <v>61</v>
      </c>
      <c r="C7" s="349">
        <f>'שאלון למילוי מגיש הבקשה-חובה'!G18</f>
        <v>0</v>
      </c>
    </row>
    <row r="8" spans="2:6" x14ac:dyDescent="0.25">
      <c r="B8" s="5" t="s">
        <v>214</v>
      </c>
      <c r="C8" s="5">
        <f>'שאלון למילוי מגיש הבקשה-חובה'!G33</f>
        <v>0</v>
      </c>
    </row>
    <row r="9" spans="2:6" x14ac:dyDescent="0.25">
      <c r="B9" s="5" t="s">
        <v>70</v>
      </c>
      <c r="C9" s="5">
        <f>'שאלון למילוי מגיש הבקשה-חובה'!G35</f>
        <v>0</v>
      </c>
    </row>
    <row r="11" spans="2:6" x14ac:dyDescent="0.25">
      <c r="B11" s="127" t="s">
        <v>215</v>
      </c>
      <c r="C11" s="302" t="s">
        <v>239</v>
      </c>
      <c r="D11" s="298"/>
      <c r="E11" s="37" t="s">
        <v>240</v>
      </c>
      <c r="F11" s="37" t="s">
        <v>241</v>
      </c>
    </row>
    <row r="12" spans="2:6" ht="15" customHeight="1" x14ac:dyDescent="0.25">
      <c r="B12" s="127" t="str">
        <f>'א-ציוד לחדרי קבוצות'!B10</f>
        <v xml:space="preserve">קטגוריה א'- ציוד וריהוט לחדרי קבוצות  </v>
      </c>
      <c r="C12" s="299">
        <f>'א-ציוד לחדרי קבוצות'!H46</f>
        <v>0</v>
      </c>
      <c r="D12" s="298"/>
      <c r="E12" s="129">
        <f>'א-ציוד לחדרי קבוצות'!L46</f>
        <v>0</v>
      </c>
      <c r="F12" s="129">
        <f>'א-ציוד לחדרי קבוצות'!Q46</f>
        <v>0</v>
      </c>
    </row>
    <row r="13" spans="2:6" x14ac:dyDescent="0.25">
      <c r="B13" s="127" t="str">
        <f>'ב-ציוד כללי'!B10</f>
        <v xml:space="preserve">קטגוריה ב'- חללים משותפים וציוד נוסף </v>
      </c>
      <c r="C13" s="299">
        <f>'ב-ציוד כללי'!H55</f>
        <v>0</v>
      </c>
      <c r="D13" s="298"/>
      <c r="E13" s="129">
        <f>'ב-ציוד כללי'!L55</f>
        <v>0</v>
      </c>
      <c r="F13" s="129">
        <f>'ב-ציוד כללי'!Q55</f>
        <v>0</v>
      </c>
    </row>
    <row r="14" spans="2:6" x14ac:dyDescent="0.25">
      <c r="B14" s="127" t="str">
        <f>'ג-מטבח וחדר אוכל'!B$11&amp;" :מטבח מחמם"</f>
        <v>קטגוריה  ג' - ציוד מטבח וחדר אוכל :מטבח מחמם</v>
      </c>
      <c r="C14" s="299">
        <f>'ג-מטבח וחדר אוכל'!H75</f>
        <v>0</v>
      </c>
      <c r="D14" s="300" t="str">
        <f>IF('ג-מטבח וחדר אוכל'!H$77=FALSE(),"טעות בבקשת ציוד מטבח","")</f>
        <v/>
      </c>
      <c r="E14" s="129">
        <f>'ג-מטבח וחדר אוכל'!L75</f>
        <v>0</v>
      </c>
      <c r="F14" s="129">
        <f>'ג-מטבח וחדר אוכל'!Q75</f>
        <v>0</v>
      </c>
    </row>
    <row r="15" spans="2:6" x14ac:dyDescent="0.25">
      <c r="B15" s="127" t="str">
        <f>'ג-מטבח וחדר אוכל'!B$11&amp;" :מטבח מבשל"</f>
        <v>קטגוריה  ג' - ציוד מטבח וחדר אוכל :מטבח מבשל</v>
      </c>
      <c r="C15" s="299">
        <f>'ג-מטבח וחדר אוכל'!H76</f>
        <v>0</v>
      </c>
      <c r="D15" s="300" t="str">
        <f>IF('ג-מטבח וחדר אוכל'!H$77=FALSE(),"טעות בבקשת ציוד מטבח","")</f>
        <v/>
      </c>
      <c r="E15" s="129">
        <f>'ג-מטבח וחדר אוכל'!L76</f>
        <v>0</v>
      </c>
      <c r="F15" s="129">
        <f>'ג-מטבח וחדר אוכל'!Q76</f>
        <v>0</v>
      </c>
    </row>
    <row r="16" spans="2:6" x14ac:dyDescent="0.25">
      <c r="B16" s="127" t="str">
        <f>'ד-ציוד תעסוקה'!B6</f>
        <v>קטגוריה ד'- ציוד תעסוקה / סדנאות</v>
      </c>
      <c r="C16" s="299">
        <f>'ד-ציוד תעסוקה'!H39</f>
        <v>0</v>
      </c>
      <c r="D16" s="300"/>
      <c r="E16" s="129">
        <f>'ד-ציוד תעסוקה'!L39</f>
        <v>0</v>
      </c>
      <c r="F16" s="129">
        <f>'ד-ציוד תעסוקה'!Q39</f>
        <v>0</v>
      </c>
    </row>
    <row r="17" spans="2:6" x14ac:dyDescent="0.25">
      <c r="B17" s="127" t="str">
        <f>'ה-ציוד צוות'!B6</f>
        <v>קטגוריה ה' - ציוד צוות</v>
      </c>
      <c r="C17" s="299">
        <f>'ה-ציוד צוות'!H18</f>
        <v>0</v>
      </c>
      <c r="D17" s="300"/>
      <c r="E17" s="129">
        <f>'ה-ציוד צוות'!L18</f>
        <v>0</v>
      </c>
      <c r="F17" s="129">
        <f>'ה-ציוד צוות'!Q18</f>
        <v>0</v>
      </c>
    </row>
    <row r="18" spans="2:6" x14ac:dyDescent="0.25">
      <c r="B18" s="127" t="str">
        <f>'ו-ציוד נוסף שלא קיים בתקן'!B6</f>
        <v>קטגוריה  ו' - צייוד שלא קיים בתקן</v>
      </c>
      <c r="C18" s="299">
        <f>'ו-ציוד נוסף שלא קיים בתקן'!P68</f>
        <v>0</v>
      </c>
      <c r="D18" s="300"/>
      <c r="E18" s="129">
        <f>'ו-ציוד נוסף שלא קיים בתקן'!S68</f>
        <v>0</v>
      </c>
      <c r="F18" s="129">
        <f>'ו-ציוד נוסף שלא קיים בתקן'!X68</f>
        <v>0</v>
      </c>
    </row>
    <row r="19" spans="2:6" x14ac:dyDescent="0.25">
      <c r="B19" s="215" t="s">
        <v>216</v>
      </c>
      <c r="C19" s="301">
        <f>SUM(C12:C18)</f>
        <v>0</v>
      </c>
      <c r="D19" s="298"/>
      <c r="E19" s="301">
        <f>SUM(E12:E18)</f>
        <v>0</v>
      </c>
      <c r="F19" s="346">
        <f>SUM(F12:F18)</f>
        <v>0</v>
      </c>
    </row>
    <row r="20" spans="2:6" hidden="1" outlineLevel="1" x14ac:dyDescent="0.25"/>
    <row r="21" spans="2:6" hidden="1" outlineLevel="1" x14ac:dyDescent="0.25">
      <c r="B21" s="21" t="s">
        <v>217</v>
      </c>
    </row>
    <row r="22" spans="2:6" hidden="1" outlineLevel="1" x14ac:dyDescent="0.25">
      <c r="B22" s="37" t="s">
        <v>218</v>
      </c>
      <c r="C22" s="37" t="s">
        <v>219</v>
      </c>
      <c r="D22" s="132" t="s">
        <v>220</v>
      </c>
    </row>
    <row r="23" spans="2:6" hidden="1" outlineLevel="1" x14ac:dyDescent="0.25">
      <c r="B23" s="127" t="s">
        <v>221</v>
      </c>
      <c r="C23" s="133">
        <f>IF(D3="כן",90%,IF(D2&lt;=4,90%,IF(D2&lt;8,80%,70%)))</f>
        <v>0.9</v>
      </c>
      <c r="D23" s="129">
        <f>$C$19*C23</f>
        <v>0</v>
      </c>
    </row>
    <row r="24" spans="2:6" hidden="1" outlineLevel="1" x14ac:dyDescent="0.25">
      <c r="B24" s="37" t="s">
        <v>222</v>
      </c>
      <c r="C24" s="134">
        <f>100%-C23</f>
        <v>9.9999999999999978E-2</v>
      </c>
      <c r="D24" s="129">
        <f>$C$19*C24</f>
        <v>0</v>
      </c>
    </row>
    <row r="25" spans="2:6" hidden="1" outlineLevel="1" x14ac:dyDescent="0.25">
      <c r="B25" s="37" t="s">
        <v>223</v>
      </c>
      <c r="C25" s="134">
        <f>SUM(C23:C24)</f>
        <v>1</v>
      </c>
      <c r="D25" s="129">
        <f>SUM(D23:D24)</f>
        <v>0</v>
      </c>
    </row>
    <row r="26" spans="2:6" hidden="1" outlineLevel="1" x14ac:dyDescent="0.25">
      <c r="D26" s="135"/>
    </row>
    <row r="27" spans="2:6" hidden="1" outlineLevel="1" x14ac:dyDescent="0.25">
      <c r="B27" s="21" t="s">
        <v>224</v>
      </c>
      <c r="D27" s="135"/>
    </row>
    <row r="28" spans="2:6" hidden="1" outlineLevel="1" x14ac:dyDescent="0.25">
      <c r="B28" s="37" t="s">
        <v>218</v>
      </c>
      <c r="C28" s="37" t="s">
        <v>219</v>
      </c>
      <c r="D28" s="129" t="s">
        <v>220</v>
      </c>
    </row>
    <row r="29" spans="2:6" hidden="1" outlineLevel="1" x14ac:dyDescent="0.25">
      <c r="B29" s="127" t="s">
        <v>225</v>
      </c>
      <c r="C29" s="134" t="str">
        <f>IF($D$29=0,"",IF($D$23&lt;$D$29,"",ROUNDUP(D29/C$19,4)))</f>
        <v/>
      </c>
      <c r="D29" s="129">
        <f>D4</f>
        <v>0</v>
      </c>
    </row>
    <row r="30" spans="2:6" hidden="1" outlineLevel="1" x14ac:dyDescent="0.25">
      <c r="B30" s="37" t="s">
        <v>222</v>
      </c>
      <c r="C30" s="134" t="str">
        <f>IF($D$29=0,"",IF($D$23&lt;$D$29,"",ROUNDDOWN(D30/C$19,4)))</f>
        <v/>
      </c>
      <c r="D30" s="129">
        <f>IF($D$23&lt;$D$29,"",(D31-D29))</f>
        <v>0</v>
      </c>
    </row>
    <row r="31" spans="2:6" hidden="1" outlineLevel="1" x14ac:dyDescent="0.25">
      <c r="B31" s="37" t="s">
        <v>223</v>
      </c>
      <c r="C31" s="134">
        <f>IF($D$23&lt;$D$29,"",SUM(C29:C30))</f>
        <v>0</v>
      </c>
      <c r="D31" s="129">
        <f>IF($D$23&lt;$D$29,"",C19)</f>
        <v>0</v>
      </c>
    </row>
    <row r="32" spans="2:6" collapsed="1" x14ac:dyDescent="0.25">
      <c r="C32" s="136"/>
      <c r="D32" s="137"/>
    </row>
    <row r="33" spans="2:5" ht="17.25" customHeight="1" x14ac:dyDescent="0.25">
      <c r="B33" s="138" t="s">
        <v>226</v>
      </c>
      <c r="D33" s="135"/>
    </row>
    <row r="34" spans="2:5" ht="17.25" customHeight="1" x14ac:dyDescent="0.25">
      <c r="B34" s="138" t="s">
        <v>227</v>
      </c>
      <c r="D34" s="135"/>
    </row>
    <row r="35" spans="2:5" x14ac:dyDescent="0.25">
      <c r="B35" s="218" t="s">
        <v>218</v>
      </c>
      <c r="C35" s="218" t="s">
        <v>219</v>
      </c>
      <c r="D35" s="219" t="s">
        <v>220</v>
      </c>
    </row>
    <row r="36" spans="2:5" x14ac:dyDescent="0.25">
      <c r="B36" s="220" t="s">
        <v>228</v>
      </c>
      <c r="C36" s="221" t="str">
        <f>IF(D36=0,"",ROUNDUP(D36/C$19,4))</f>
        <v/>
      </c>
      <c r="D36" s="219">
        <f>MIN(D23,D29)</f>
        <v>0</v>
      </c>
      <c r="E36" s="139"/>
    </row>
    <row r="37" spans="2:5" x14ac:dyDescent="0.25">
      <c r="B37" s="218" t="s">
        <v>222</v>
      </c>
      <c r="C37" s="221" t="str">
        <f>IF(D37=0,"",ROUNDDOWN(D37/C$19,4))</f>
        <v/>
      </c>
      <c r="D37" s="219">
        <f>D38-D36</f>
        <v>0</v>
      </c>
    </row>
    <row r="38" spans="2:5" x14ac:dyDescent="0.25">
      <c r="B38" s="215" t="s">
        <v>223</v>
      </c>
      <c r="C38" s="217" t="str">
        <f>IF(D38=0,"",SUM(C36:C37))</f>
        <v/>
      </c>
      <c r="D38" s="216">
        <f>C19</f>
        <v>0</v>
      </c>
    </row>
  </sheetData>
  <sheetProtection algorithmName="SHA-512" hashValue="VTkokaKR5wHzsBWnh2i7jAN79B3xqFPQ5ukmPQiqgB7t05foRf39KMOeRWLc6Mv4dyz23ZuW4liySWgFcnyduw==" saltValue="WjMPe8MZ/AdJxQ9Kx1VPdQ==" spinCount="100000" sheet="1" formatCells="0" formatColumns="0" formatRows="0"/>
  <phoneticPr fontId="42" type="noConversion"/>
  <pageMargins left="0.70833333333333304" right="0.70833333333333304" top="0.74791666666666701" bottom="0.74791666666666701" header="0.511811023622047" footer="0.51181102362204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74E3F86D58734C7AA1EEF000005FC8B6" ma:contentTypeVersion="1" ma:contentTypeDescription="צור מסמך חדש." ma:contentTypeScope="" ma:versionID="ae5ff37499b070873e287761911273f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8da46b6ae811ef844734bd8bf08ae2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71DED75-D2C0-4303-83C3-AF19225848CD}"/>
</file>

<file path=customXml/itemProps2.xml><?xml version="1.0" encoding="utf-8"?>
<ds:datastoreItem xmlns:ds="http://schemas.openxmlformats.org/officeDocument/2006/customXml" ds:itemID="{313C4FD5-90DD-4147-B69B-9C62A4D91F6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9</vt:i4>
      </vt:variant>
    </vt:vector>
  </HeadingPairs>
  <TitlesOfParts>
    <vt:vector size="9" baseType="lpstr">
      <vt:lpstr>פתיח</vt:lpstr>
      <vt:lpstr>שאלון למילוי מגיש הבקשה-חובה</vt:lpstr>
      <vt:lpstr>א-ציוד לחדרי קבוצות</vt:lpstr>
      <vt:lpstr>ב-ציוד כללי</vt:lpstr>
      <vt:lpstr>ג-מטבח וחדר אוכל</vt:lpstr>
      <vt:lpstr>ד-ציוד תעסוקה</vt:lpstr>
      <vt:lpstr>ה-ציוד צוות</vt:lpstr>
      <vt:lpstr>ו-ציוד נוסף שלא קיים בתקן</vt:lpstr>
      <vt:lpstr>סיכום לוועדה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Vadim Ignatiev</dc:creator>
  <dc:description/>
  <cp:lastModifiedBy>Beni</cp:lastModifiedBy>
  <cp:revision>0</cp:revision>
  <cp:lastPrinted>2026-09-08T15:38:29Z</cp:lastPrinted>
  <dcterms:created xsi:type="dcterms:W3CDTF">2013-08-02T06:29:35Z</dcterms:created>
  <dcterms:modified xsi:type="dcterms:W3CDTF">2026-09-08T15:38:33Z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0x01010074E3F86D58734C7AA1EEF000005FC8B6</vt:lpwstr>
  </property>
  <property fmtid="{D5CDD505-2E9C-101B-9397-08002B2CF9AE}" pid="3" name="Order">
    <vt:r8>10500</vt:r8>
  </property>
  <property fmtid="{D5CDD505-2E9C-101B-9397-08002B2CF9AE}" pid="4" name="TemplateUrl">
    <vt:lpwstr/>
  </property>
  <property fmtid="{D5CDD505-2E9C-101B-9397-08002B2CF9AE}" pid="5" name="_NewReviewCycle">
    <vt:lpwstr/>
  </property>
  <property fmtid="{D5CDD505-2E9C-101B-9397-08002B2CF9AE}" pid="6" name="_SharedFileIndex">
    <vt:lpwstr/>
  </property>
  <property fmtid="{D5CDD505-2E9C-101B-9397-08002B2CF9AE}" pid="7" name="_SourceUrl">
    <vt:lpwstr/>
  </property>
  <property fmtid="{D5CDD505-2E9C-101B-9397-08002B2CF9AE}" pid="8" name="xd_ProgID">
    <vt:lpwstr/>
  </property>
  <property fmtid="{D5CDD505-2E9C-101B-9397-08002B2CF9AE}" pid="9" name="xd_Signature">
    <vt:bool>false</vt:bool>
  </property>
</Properties>
</file>