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oifs1\FolderRedirect\avitalge\Desktop\דיור קהילתי\"/>
    </mc:Choice>
  </mc:AlternateContent>
  <bookViews>
    <workbookView xWindow="0" yWindow="0" windowWidth="23040" windowHeight="8535" tabRatio="782" firstSheet="2" activeTab="4"/>
  </bookViews>
  <sheets>
    <sheet name="פירוט הסתרות" sheetId="21" state="hidden" r:id="rId1"/>
    <sheet name="נוסחאות" sheetId="1" state="hidden" r:id="rId2"/>
    <sheet name="פתיח " sheetId="3" r:id="rId3"/>
    <sheet name="תוכן עניינים" sheetId="20" r:id="rId4"/>
    <sheet name="שאלון למילוי הגוף-חובה" sheetId="12" r:id="rId5"/>
    <sheet name="חדרי שינה" sheetId="6" r:id="rId6"/>
    <sheet name="דירה קהילתית-חללים משותפים " sheetId="2" r:id="rId7"/>
    <sheet name="בית שיתופי-חללים משותפים" sheetId="4" r:id="rId8"/>
    <sheet name="בית שיתופי-סלון ומטבחון נוספים" sheetId="19" r:id="rId9"/>
    <sheet name="ציוד מיוחד" sheetId="18" r:id="rId10"/>
    <sheet name="ציוד מתקנים אחרים" sheetId="14" r:id="rId11"/>
    <sheet name="ציוד נוסף" sheetId="13" r:id="rId12"/>
    <sheet name="סיכום לוועדה" sheetId="11" r:id="rId13"/>
  </sheets>
  <definedNames>
    <definedName name="BedroomType" localSheetId="7">#REF!</definedName>
    <definedName name="BedroomType" localSheetId="8">#REF!</definedName>
    <definedName name="BedroomType" localSheetId="0">#REF!</definedName>
    <definedName name="BedroomType" localSheetId="9">#REF!</definedName>
    <definedName name="BedroomType" localSheetId="10">#REF!</definedName>
    <definedName name="BedroomType" localSheetId="4">#REF!</definedName>
    <definedName name="BedroomType">#REF!</definedName>
    <definedName name="_xlnm.Print_Area" localSheetId="12">'סיכום לוועדה'!$B$2:$H$57</definedName>
    <definedName name="_xlnm.Print_Area" localSheetId="2">'פתיח '!$B$1:$M$24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4" i="12" l="1"/>
  <c r="N60" i="4" l="1"/>
  <c r="N59" i="4"/>
  <c r="N54" i="2" l="1"/>
  <c r="N53" i="2"/>
  <c r="B2" i="13" l="1"/>
  <c r="D26" i="12" l="1"/>
  <c r="O7" i="13" l="1"/>
  <c r="O8" i="13"/>
  <c r="L23" i="19" l="1"/>
  <c r="L24" i="19"/>
  <c r="Q45" i="1" l="1"/>
  <c r="Q46" i="1"/>
  <c r="Q47" i="1"/>
  <c r="Q48" i="1"/>
  <c r="Q49" i="1"/>
  <c r="Q50" i="1"/>
  <c r="Q51" i="1"/>
  <c r="Q52" i="1"/>
  <c r="Q39" i="1"/>
  <c r="Q40" i="1"/>
  <c r="Q41" i="1"/>
  <c r="Q42" i="1"/>
  <c r="Q43" i="1"/>
  <c r="Q44" i="1"/>
  <c r="O53" i="1"/>
  <c r="J5" i="2" l="1"/>
  <c r="D22" i="11" l="1"/>
  <c r="C22" i="11"/>
  <c r="O5" i="13" l="1"/>
  <c r="O6" i="13"/>
  <c r="O9" i="13"/>
  <c r="O10" i="13"/>
  <c r="P10" i="13" s="1"/>
  <c r="O11" i="13"/>
  <c r="O12" i="13"/>
  <c r="O13" i="13"/>
  <c r="O14" i="13"/>
  <c r="P14" i="13" s="1"/>
  <c r="O15" i="13"/>
  <c r="O16" i="13"/>
  <c r="O17" i="13"/>
  <c r="O18" i="13"/>
  <c r="P18" i="13" s="1"/>
  <c r="O19" i="13"/>
  <c r="O20" i="13"/>
  <c r="O21" i="13"/>
  <c r="O22" i="13"/>
  <c r="P22" i="13" s="1"/>
  <c r="O23" i="13"/>
  <c r="O24" i="13"/>
  <c r="O25" i="13"/>
  <c r="P25" i="13" s="1"/>
  <c r="O26" i="13"/>
  <c r="P26" i="13" s="1"/>
  <c r="O27" i="13"/>
  <c r="O28" i="13"/>
  <c r="O4" i="13"/>
  <c r="M28" i="13"/>
  <c r="M27" i="13"/>
  <c r="M26" i="13"/>
  <c r="M25" i="13"/>
  <c r="M24" i="13"/>
  <c r="M23" i="13"/>
  <c r="M22" i="13"/>
  <c r="M21" i="13"/>
  <c r="M20" i="13"/>
  <c r="M19" i="13"/>
  <c r="M18" i="13"/>
  <c r="M17" i="13"/>
  <c r="M16" i="13"/>
  <c r="M15" i="13"/>
  <c r="M14" i="13"/>
  <c r="M13" i="13"/>
  <c r="M12" i="13"/>
  <c r="M11" i="13"/>
  <c r="M10" i="13"/>
  <c r="M9" i="13"/>
  <c r="M8" i="13"/>
  <c r="P8" i="13" s="1"/>
  <c r="M7" i="13"/>
  <c r="P7" i="13" s="1"/>
  <c r="M6" i="13"/>
  <c r="M5" i="13"/>
  <c r="M4" i="13"/>
  <c r="Q29" i="13"/>
  <c r="P6" i="13" l="1"/>
  <c r="P5" i="13"/>
  <c r="P21" i="13"/>
  <c r="P17" i="13"/>
  <c r="P13" i="13"/>
  <c r="P9" i="13"/>
  <c r="P28" i="13"/>
  <c r="P24" i="13"/>
  <c r="P20" i="13"/>
  <c r="P16" i="13"/>
  <c r="P12" i="13"/>
  <c r="P27" i="13"/>
  <c r="P23" i="13"/>
  <c r="P19" i="13"/>
  <c r="P15" i="13"/>
  <c r="P11" i="13"/>
  <c r="P4" i="13"/>
  <c r="P29" i="13" l="1"/>
  <c r="M57" i="1"/>
  <c r="M56" i="1"/>
  <c r="I57" i="1"/>
  <c r="I56" i="1"/>
  <c r="E57" i="1"/>
  <c r="E56" i="1"/>
  <c r="E40" i="12"/>
  <c r="E41" i="12"/>
  <c r="E39" i="12"/>
  <c r="I54" i="2"/>
  <c r="L54" i="2" s="1"/>
  <c r="I53" i="2"/>
  <c r="L53" i="2" s="1"/>
  <c r="L55" i="2"/>
  <c r="J52" i="2"/>
  <c r="H7" i="11"/>
  <c r="E12" i="11"/>
  <c r="F12" i="11" s="1"/>
  <c r="C56" i="11"/>
  <c r="C55" i="11"/>
  <c r="E31" i="12" l="1"/>
  <c r="E30" i="12"/>
  <c r="E34" i="12"/>
  <c r="E33" i="12"/>
  <c r="G6" i="11"/>
  <c r="H6" i="11" s="1"/>
  <c r="F6" i="11"/>
  <c r="E28" i="12"/>
  <c r="E11" i="12" l="1"/>
  <c r="E43" i="12" l="1"/>
  <c r="E25" i="12"/>
  <c r="E27" i="12"/>
  <c r="E26" i="12"/>
  <c r="E19" i="12"/>
  <c r="E20" i="12"/>
  <c r="E21" i="12"/>
  <c r="E22" i="12"/>
  <c r="E18" i="12"/>
  <c r="E15" i="12"/>
  <c r="E14" i="12"/>
  <c r="E13" i="12"/>
  <c r="E12" i="12"/>
  <c r="E10" i="12"/>
  <c r="E9" i="12"/>
  <c r="E36" i="12"/>
  <c r="E11" i="11" l="1"/>
  <c r="F11" i="11" s="1"/>
  <c r="E10" i="11" l="1"/>
  <c r="F10" i="11" s="1"/>
  <c r="E9" i="11"/>
  <c r="F9" i="11" s="1"/>
  <c r="D9" i="11"/>
  <c r="E8" i="11"/>
  <c r="F8" i="11" s="1"/>
  <c r="D10" i="11"/>
  <c r="D8" i="11"/>
  <c r="A2" i="2"/>
  <c r="E1" i="2" l="1"/>
  <c r="E2" i="2"/>
  <c r="F2" i="2"/>
  <c r="F1" i="2"/>
  <c r="C18" i="11"/>
  <c r="B2" i="2"/>
  <c r="D18" i="11" s="1"/>
  <c r="C23" i="11"/>
  <c r="B2" i="4"/>
  <c r="D23" i="11" s="1"/>
  <c r="G2" i="2" l="1"/>
  <c r="F2" i="4"/>
  <c r="E2" i="4"/>
  <c r="F1" i="4"/>
  <c r="E1" i="4"/>
  <c r="E2" i="19"/>
  <c r="F2" i="19"/>
  <c r="E1" i="19"/>
  <c r="E2" i="18"/>
  <c r="E3" i="18"/>
  <c r="E1" i="18"/>
  <c r="F2" i="18"/>
  <c r="F3" i="18"/>
  <c r="F1" i="18"/>
  <c r="G2" i="4" l="1"/>
  <c r="F37" i="4" s="1"/>
  <c r="E54" i="2"/>
  <c r="E53" i="2"/>
  <c r="D54" i="2"/>
  <c r="D53" i="2"/>
  <c r="E19" i="2"/>
  <c r="F19" i="2"/>
  <c r="D19" i="2"/>
  <c r="F53" i="4"/>
  <c r="I53" i="4" s="1"/>
  <c r="F28" i="4"/>
  <c r="F35" i="4"/>
  <c r="F9" i="4"/>
  <c r="F50" i="2"/>
  <c r="I50" i="2" s="1"/>
  <c r="L50" i="2" s="1"/>
  <c r="F46" i="2"/>
  <c r="F42" i="2"/>
  <c r="F38" i="2"/>
  <c r="F32" i="2"/>
  <c r="F28" i="2"/>
  <c r="F24" i="2"/>
  <c r="F18" i="2"/>
  <c r="F14" i="2"/>
  <c r="F10" i="2"/>
  <c r="F6" i="2"/>
  <c r="I6" i="2" s="1"/>
  <c r="F44" i="2"/>
  <c r="F30" i="2"/>
  <c r="F22" i="2"/>
  <c r="F12" i="2"/>
  <c r="F43" i="2"/>
  <c r="F33" i="2"/>
  <c r="F25" i="2"/>
  <c r="F15" i="2"/>
  <c r="I15" i="2" s="1"/>
  <c r="L15" i="2" s="1"/>
  <c r="F7" i="2"/>
  <c r="F49" i="2"/>
  <c r="F45" i="2"/>
  <c r="F41" i="2"/>
  <c r="F35" i="2"/>
  <c r="F31" i="2"/>
  <c r="F27" i="2"/>
  <c r="F23" i="2"/>
  <c r="F17" i="2"/>
  <c r="F13" i="2"/>
  <c r="F9" i="2"/>
  <c r="F48" i="2"/>
  <c r="F40" i="2"/>
  <c r="F34" i="2"/>
  <c r="F26" i="2"/>
  <c r="F16" i="2"/>
  <c r="F8" i="2"/>
  <c r="F47" i="2"/>
  <c r="F39" i="2"/>
  <c r="F29" i="2"/>
  <c r="F11" i="2"/>
  <c r="D6" i="2"/>
  <c r="D8" i="2"/>
  <c r="D10" i="2"/>
  <c r="D12" i="2"/>
  <c r="D14" i="2"/>
  <c r="D16" i="2"/>
  <c r="D18" i="2"/>
  <c r="D7" i="2"/>
  <c r="D11" i="2"/>
  <c r="D17" i="2"/>
  <c r="E7" i="2"/>
  <c r="E11" i="2"/>
  <c r="E15" i="2"/>
  <c r="E6" i="2"/>
  <c r="E8" i="2"/>
  <c r="E10" i="2"/>
  <c r="E12" i="2"/>
  <c r="E14" i="2"/>
  <c r="E16" i="2"/>
  <c r="E18" i="2"/>
  <c r="D9" i="2"/>
  <c r="D13" i="2"/>
  <c r="D15" i="2"/>
  <c r="E9" i="2"/>
  <c r="E13" i="2"/>
  <c r="E17" i="2"/>
  <c r="D37" i="12"/>
  <c r="F11" i="4" l="1"/>
  <c r="F56" i="4"/>
  <c r="I56" i="4" s="1"/>
  <c r="F17" i="4"/>
  <c r="I17" i="4" s="1"/>
  <c r="F46" i="4"/>
  <c r="I46" i="4" s="1"/>
  <c r="F32" i="4"/>
  <c r="F15" i="4"/>
  <c r="F13" i="4"/>
  <c r="F23" i="4"/>
  <c r="F54" i="4"/>
  <c r="I54" i="4" s="1"/>
  <c r="F41" i="4"/>
  <c r="F29" i="4"/>
  <c r="F10" i="4"/>
  <c r="F27" i="4"/>
  <c r="F14" i="4"/>
  <c r="F51" i="4"/>
  <c r="I51" i="4" s="1"/>
  <c r="F33" i="4"/>
  <c r="F36" i="4"/>
  <c r="F42" i="4"/>
  <c r="F40" i="4"/>
  <c r="F8" i="4"/>
  <c r="F18" i="4"/>
  <c r="I18" i="4" s="1"/>
  <c r="F47" i="4"/>
  <c r="I47" i="4" s="1"/>
  <c r="F19" i="4"/>
  <c r="F52" i="4"/>
  <c r="I52" i="4" s="1"/>
  <c r="F50" i="4"/>
  <c r="I50" i="4" s="1"/>
  <c r="F16" i="4"/>
  <c r="F22" i="4"/>
  <c r="F55" i="4"/>
  <c r="I55" i="4" s="1"/>
  <c r="F34" i="4"/>
  <c r="F49" i="4"/>
  <c r="I49" i="4" s="1"/>
  <c r="F6" i="4"/>
  <c r="I6" i="4" s="1"/>
  <c r="F26" i="4"/>
  <c r="F45" i="4"/>
  <c r="F7" i="4"/>
  <c r="F25" i="4"/>
  <c r="F48" i="4"/>
  <c r="I48" i="4" s="1"/>
  <c r="F31" i="4"/>
  <c r="F24" i="4"/>
  <c r="F12" i="4"/>
  <c r="F30" i="4"/>
  <c r="F60" i="4"/>
  <c r="E60" i="4"/>
  <c r="I7" i="2"/>
  <c r="L7" i="2" s="1"/>
  <c r="L6" i="2"/>
  <c r="G53" i="2"/>
  <c r="J53" i="2"/>
  <c r="G54" i="2"/>
  <c r="J54" i="2"/>
  <c r="K54" i="2" s="1"/>
  <c r="E13" i="11"/>
  <c r="F13" i="11" s="1"/>
  <c r="C57" i="11"/>
  <c r="I12" i="2"/>
  <c r="L12" i="2" s="1"/>
  <c r="G12" i="2"/>
  <c r="I9" i="2"/>
  <c r="L9" i="2" s="1"/>
  <c r="G9" i="2"/>
  <c r="G8" i="2"/>
  <c r="I8" i="2"/>
  <c r="L8" i="2" s="1"/>
  <c r="G15" i="2"/>
  <c r="J15" i="2" s="1"/>
  <c r="G13" i="2"/>
  <c r="I13" i="2"/>
  <c r="L13" i="2" s="1"/>
  <c r="G16" i="2"/>
  <c r="I16" i="2"/>
  <c r="L16" i="2" s="1"/>
  <c r="G17" i="2"/>
  <c r="I17" i="2"/>
  <c r="L17" i="2" s="1"/>
  <c r="G18" i="2"/>
  <c r="I18" i="2"/>
  <c r="L18" i="2" s="1"/>
  <c r="D18" i="4"/>
  <c r="E17" i="4"/>
  <c r="I16" i="4"/>
  <c r="D13" i="4"/>
  <c r="D16" i="4"/>
  <c r="D17" i="4"/>
  <c r="E18" i="4"/>
  <c r="E13" i="4"/>
  <c r="E16" i="4"/>
  <c r="F1" i="19"/>
  <c r="S59" i="1"/>
  <c r="O59" i="1"/>
  <c r="U54" i="1"/>
  <c r="U55" i="1"/>
  <c r="Q54" i="1"/>
  <c r="Q55" i="1"/>
  <c r="G55" i="2" l="1"/>
  <c r="J55" i="2"/>
  <c r="E22" i="11" s="1"/>
  <c r="K53" i="2"/>
  <c r="J9" i="2"/>
  <c r="J12" i="2"/>
  <c r="J13" i="2"/>
  <c r="K13" i="2" s="1"/>
  <c r="J16" i="2"/>
  <c r="K16" i="2" s="1"/>
  <c r="J18" i="2"/>
  <c r="K18" i="2" s="1"/>
  <c r="J17" i="2"/>
  <c r="K17" i="2" s="1"/>
  <c r="J8" i="2"/>
  <c r="K8" i="2" s="1"/>
  <c r="G17" i="4"/>
  <c r="J17" i="4" s="1"/>
  <c r="K17" i="4" s="1"/>
  <c r="G18" i="4"/>
  <c r="J18" i="4" s="1"/>
  <c r="G13" i="4"/>
  <c r="G16" i="4"/>
  <c r="J16" i="4" s="1"/>
  <c r="I13" i="4"/>
  <c r="L13" i="4" s="1"/>
  <c r="L16" i="4"/>
  <c r="L17" i="4"/>
  <c r="L18" i="4"/>
  <c r="J13" i="4" l="1"/>
  <c r="K13" i="4" s="1"/>
  <c r="K18" i="4"/>
  <c r="K16" i="4"/>
  <c r="C28" i="11"/>
  <c r="C27" i="11"/>
  <c r="C26" i="11"/>
  <c r="C25" i="11"/>
  <c r="C24" i="11"/>
  <c r="D28" i="11"/>
  <c r="D27" i="11"/>
  <c r="D26" i="11"/>
  <c r="D25" i="11"/>
  <c r="D24" i="11"/>
  <c r="C21" i="11"/>
  <c r="C20" i="11"/>
  <c r="D21" i="11"/>
  <c r="C19" i="11"/>
  <c r="D20" i="11"/>
  <c r="D19" i="11"/>
  <c r="C31" i="11"/>
  <c r="C30" i="11"/>
  <c r="G15" i="19" l="1"/>
  <c r="J15" i="19" s="1"/>
  <c r="D31" i="11"/>
  <c r="D30" i="11"/>
  <c r="L7" i="19"/>
  <c r="G7" i="19"/>
  <c r="J7" i="19" s="1"/>
  <c r="A2" i="19"/>
  <c r="C29" i="11" s="1"/>
  <c r="B2" i="19"/>
  <c r="D29" i="11" s="1"/>
  <c r="J5" i="19"/>
  <c r="L7" i="18"/>
  <c r="L8" i="18"/>
  <c r="L9" i="18"/>
  <c r="L10" i="18"/>
  <c r="L11" i="18"/>
  <c r="L12" i="18"/>
  <c r="L13" i="18"/>
  <c r="L14" i="18"/>
  <c r="L15" i="18"/>
  <c r="L16" i="18"/>
  <c r="L17" i="18"/>
  <c r="L18" i="18"/>
  <c r="L19" i="18"/>
  <c r="L20" i="18"/>
  <c r="L21" i="18"/>
  <c r="L22" i="18"/>
  <c r="L23" i="18"/>
  <c r="L6" i="18"/>
  <c r="L10" i="19" l="1"/>
  <c r="G9" i="19"/>
  <c r="J9" i="19" s="1"/>
  <c r="K9" i="19" s="1"/>
  <c r="L9" i="19"/>
  <c r="L21" i="19"/>
  <c r="L16" i="19"/>
  <c r="G10" i="19"/>
  <c r="J10" i="19" s="1"/>
  <c r="K10" i="19" s="1"/>
  <c r="G16" i="19"/>
  <c r="J16" i="19" s="1"/>
  <c r="G8" i="19"/>
  <c r="J8" i="19" s="1"/>
  <c r="K8" i="19" s="1"/>
  <c r="L22" i="19"/>
  <c r="L17" i="19"/>
  <c r="L19" i="19"/>
  <c r="G19" i="19"/>
  <c r="J19" i="19" s="1"/>
  <c r="L18" i="19"/>
  <c r="L13" i="19"/>
  <c r="L15" i="19"/>
  <c r="K15" i="19"/>
  <c r="G21" i="19"/>
  <c r="L6" i="19"/>
  <c r="L14" i="19"/>
  <c r="L20" i="19"/>
  <c r="G17" i="19"/>
  <c r="J17" i="19" s="1"/>
  <c r="G6" i="19"/>
  <c r="G13" i="19"/>
  <c r="G18" i="19"/>
  <c r="G20" i="19"/>
  <c r="J20" i="19" s="1"/>
  <c r="G14" i="19"/>
  <c r="J14" i="19" s="1"/>
  <c r="G22" i="19"/>
  <c r="K7" i="19"/>
  <c r="L8" i="19"/>
  <c r="J13" i="19" l="1"/>
  <c r="G23" i="19"/>
  <c r="J6" i="19"/>
  <c r="G11" i="19"/>
  <c r="G24" i="19" s="1"/>
  <c r="K6" i="19"/>
  <c r="J11" i="19"/>
  <c r="J22" i="19"/>
  <c r="K22" i="19" s="1"/>
  <c r="J18" i="19"/>
  <c r="K18" i="19" s="1"/>
  <c r="J21" i="19"/>
  <c r="K21" i="19" s="1"/>
  <c r="K17" i="19"/>
  <c r="K14" i="19"/>
  <c r="K13" i="19"/>
  <c r="K20" i="19"/>
  <c r="K19" i="19"/>
  <c r="K16" i="19"/>
  <c r="J23" i="19" l="1"/>
  <c r="J24" i="19" s="1"/>
  <c r="C32" i="11"/>
  <c r="D32" i="11"/>
  <c r="C33" i="11"/>
  <c r="D33" i="11"/>
  <c r="A2" i="13"/>
  <c r="C34" i="11" s="1"/>
  <c r="D34" i="11"/>
  <c r="A2" i="6"/>
  <c r="C17" i="11" s="1"/>
  <c r="B2" i="6"/>
  <c r="D17" i="11" s="1"/>
  <c r="F2" i="6" l="1"/>
  <c r="F16" i="6" s="1"/>
  <c r="I16" i="6" s="1"/>
  <c r="F1" i="6"/>
  <c r="F17" i="6" s="1"/>
  <c r="I17" i="6" s="1"/>
  <c r="L17" i="6" s="1"/>
  <c r="F8" i="6" l="1"/>
  <c r="I8" i="6" s="1"/>
  <c r="F14" i="6"/>
  <c r="I14" i="6" s="1"/>
  <c r="F6" i="6"/>
  <c r="I6" i="6" s="1"/>
  <c r="L6" i="6" s="1"/>
  <c r="F9" i="6"/>
  <c r="I9" i="6" s="1"/>
  <c r="F5" i="6"/>
  <c r="I5" i="6" s="1"/>
  <c r="F10" i="6"/>
  <c r="I10" i="6" s="1"/>
  <c r="F11" i="6"/>
  <c r="I11" i="6" s="1"/>
  <c r="F15" i="6"/>
  <c r="I15" i="6" s="1"/>
  <c r="F7" i="6"/>
  <c r="I7" i="6" s="1"/>
  <c r="F13" i="6"/>
  <c r="I13" i="6" s="1"/>
  <c r="F12" i="6"/>
  <c r="I12" i="6" s="1"/>
  <c r="G17" i="6"/>
  <c r="J17" i="6" s="1"/>
  <c r="K17" i="6" s="1"/>
  <c r="L5" i="6" l="1"/>
  <c r="L10" i="6"/>
  <c r="L8" i="6"/>
  <c r="G8" i="6"/>
  <c r="G6" i="6"/>
  <c r="G10" i="6"/>
  <c r="G16" i="6"/>
  <c r="J16" i="6" s="1"/>
  <c r="K16" i="6" s="1"/>
  <c r="G15" i="6"/>
  <c r="G11" i="6"/>
  <c r="G14" i="6"/>
  <c r="G13" i="6"/>
  <c r="G12" i="6"/>
  <c r="G9" i="6"/>
  <c r="J9" i="6" s="1"/>
  <c r="K9" i="6" s="1"/>
  <c r="J11" i="6" l="1"/>
  <c r="K11" i="6" s="1"/>
  <c r="J12" i="6"/>
  <c r="K12" i="6" s="1"/>
  <c r="J6" i="6"/>
  <c r="K6" i="6" s="1"/>
  <c r="J15" i="6"/>
  <c r="K15" i="6" s="1"/>
  <c r="J13" i="6"/>
  <c r="K13" i="6" s="1"/>
  <c r="J14" i="6"/>
  <c r="K14" i="6" s="1"/>
  <c r="J10" i="6"/>
  <c r="K10" i="6" s="1"/>
  <c r="J8" i="6"/>
  <c r="K8" i="6" s="1"/>
  <c r="L16" i="6"/>
  <c r="L13" i="6"/>
  <c r="L11" i="6"/>
  <c r="L12" i="6"/>
  <c r="L9" i="6"/>
  <c r="L14" i="6"/>
  <c r="L15" i="6"/>
  <c r="M29" i="14" l="1"/>
  <c r="D2" i="11"/>
  <c r="A1" i="13"/>
  <c r="A1" i="14"/>
  <c r="A1" i="18"/>
  <c r="A1" i="19"/>
  <c r="A1" i="4"/>
  <c r="A1" i="2"/>
  <c r="A1" i="6"/>
  <c r="C1" i="12"/>
  <c r="J5" i="4" l="1"/>
  <c r="J12" i="19" l="1"/>
  <c r="L11" i="19"/>
  <c r="U26" i="1"/>
  <c r="Q26" i="1"/>
  <c r="M26" i="1"/>
  <c r="I26" i="1"/>
  <c r="E26" i="1"/>
  <c r="K23" i="19" l="1"/>
  <c r="E31" i="11"/>
  <c r="K11" i="19"/>
  <c r="F30" i="11" s="1"/>
  <c r="E30" i="11"/>
  <c r="M23" i="1"/>
  <c r="F31" i="11" l="1"/>
  <c r="K24" i="19"/>
  <c r="F29" i="11" s="1"/>
  <c r="U23" i="1" l="1"/>
  <c r="Q23" i="1"/>
  <c r="I23" i="1"/>
  <c r="E23" i="1"/>
  <c r="U27" i="1" l="1"/>
  <c r="Q27" i="1"/>
  <c r="M27" i="1"/>
  <c r="I27" i="1"/>
  <c r="U25" i="1"/>
  <c r="Q25" i="1"/>
  <c r="M25" i="1"/>
  <c r="I25" i="1"/>
  <c r="E25" i="1"/>
  <c r="E27" i="1"/>
  <c r="U24" i="1"/>
  <c r="Q24" i="1"/>
  <c r="M24" i="1"/>
  <c r="I24" i="1"/>
  <c r="E24" i="1"/>
  <c r="L24" i="18" l="1"/>
  <c r="F3" i="11" l="1"/>
  <c r="F5" i="11"/>
  <c r="G5" i="11"/>
  <c r="H5" i="11" s="1"/>
  <c r="G3" i="11"/>
  <c r="G4" i="11" s="1"/>
  <c r="H4" i="11" s="1"/>
  <c r="H3" i="11" l="1"/>
  <c r="G23" i="18"/>
  <c r="J23" i="18" l="1"/>
  <c r="K23" i="18" s="1"/>
  <c r="U34" i="1"/>
  <c r="Q34" i="1"/>
  <c r="U14" i="1" l="1"/>
  <c r="Q14" i="1"/>
  <c r="U40" i="1"/>
  <c r="M40" i="1"/>
  <c r="I40" i="1"/>
  <c r="E40" i="1"/>
  <c r="U17" i="1"/>
  <c r="Q17" i="1"/>
  <c r="M17" i="1"/>
  <c r="I17" i="1"/>
  <c r="E17" i="1"/>
  <c r="Q16" i="1"/>
  <c r="U16" i="1"/>
  <c r="M16" i="1"/>
  <c r="I16" i="1"/>
  <c r="E16" i="1"/>
  <c r="Q11" i="1"/>
  <c r="M11" i="1"/>
  <c r="U11" i="1"/>
  <c r="I11" i="1"/>
  <c r="E11" i="1"/>
  <c r="E50" i="1" l="1"/>
  <c r="I13" i="1"/>
  <c r="U46" i="1" l="1"/>
  <c r="U47" i="1"/>
  <c r="E20" i="18" l="1"/>
  <c r="E21" i="18"/>
  <c r="E22" i="18"/>
  <c r="E19" i="18"/>
  <c r="C20" i="18"/>
  <c r="C21" i="18"/>
  <c r="C22" i="18"/>
  <c r="C19" i="18"/>
  <c r="G22" i="18" l="1"/>
  <c r="J22" i="18" s="1"/>
  <c r="K22" i="18" s="1"/>
  <c r="G21" i="18"/>
  <c r="J21" i="18" s="1"/>
  <c r="K21" i="18" s="1"/>
  <c r="G20" i="18"/>
  <c r="J20" i="18" s="1"/>
  <c r="K20" i="18" s="1"/>
  <c r="G19" i="18"/>
  <c r="J19" i="18" s="1"/>
  <c r="G7" i="18"/>
  <c r="J7" i="18" s="1"/>
  <c r="K7" i="18" s="1"/>
  <c r="G8" i="18"/>
  <c r="J8" i="18" s="1"/>
  <c r="K8" i="18" s="1"/>
  <c r="G9" i="18"/>
  <c r="J9" i="18" s="1"/>
  <c r="K9" i="18" s="1"/>
  <c r="G10" i="18"/>
  <c r="J10" i="18" s="1"/>
  <c r="K10" i="18" s="1"/>
  <c r="G11" i="18"/>
  <c r="J11" i="18" s="1"/>
  <c r="K11" i="18" s="1"/>
  <c r="G12" i="18"/>
  <c r="J12" i="18" s="1"/>
  <c r="K12" i="18" s="1"/>
  <c r="G13" i="18"/>
  <c r="J13" i="18" s="1"/>
  <c r="K13" i="18" s="1"/>
  <c r="G14" i="18"/>
  <c r="J14" i="18" s="1"/>
  <c r="K14" i="18" s="1"/>
  <c r="G15" i="18"/>
  <c r="J15" i="18" s="1"/>
  <c r="K15" i="18" s="1"/>
  <c r="G16" i="18"/>
  <c r="J16" i="18" s="1"/>
  <c r="K16" i="18" s="1"/>
  <c r="G17" i="18"/>
  <c r="J17" i="18" s="1"/>
  <c r="K17" i="18" s="1"/>
  <c r="G18" i="18"/>
  <c r="J18" i="18" s="1"/>
  <c r="K18" i="18" s="1"/>
  <c r="G6" i="18"/>
  <c r="G24" i="18" l="1"/>
  <c r="J6" i="18"/>
  <c r="J24" i="18"/>
  <c r="K19" i="18"/>
  <c r="E32" i="11" l="1"/>
  <c r="K24" i="18"/>
  <c r="K6" i="18"/>
  <c r="F32" i="11" l="1"/>
  <c r="Q13" i="1"/>
  <c r="U13" i="1"/>
  <c r="M13" i="1"/>
  <c r="E13" i="1"/>
  <c r="D31" i="4" l="1"/>
  <c r="E31" i="4"/>
  <c r="E33" i="4"/>
  <c r="D33" i="4"/>
  <c r="I33" i="4"/>
  <c r="L33" i="4" s="1"/>
  <c r="E30" i="4"/>
  <c r="E32" i="4"/>
  <c r="D29" i="4"/>
  <c r="D30" i="4"/>
  <c r="D32" i="4"/>
  <c r="E29" i="4"/>
  <c r="E24" i="4"/>
  <c r="D51" i="4"/>
  <c r="D37" i="4"/>
  <c r="D24" i="4"/>
  <c r="E51" i="4"/>
  <c r="E37" i="4"/>
  <c r="I31" i="4" l="1"/>
  <c r="G31" i="4"/>
  <c r="I32" i="4"/>
  <c r="G32" i="4"/>
  <c r="G30" i="4"/>
  <c r="I30" i="4"/>
  <c r="G33" i="4"/>
  <c r="J33" i="4" s="1"/>
  <c r="I29" i="4"/>
  <c r="G29" i="4"/>
  <c r="G24" i="4"/>
  <c r="I24" i="4"/>
  <c r="J32" i="4" l="1"/>
  <c r="J29" i="4"/>
  <c r="K29" i="4" s="1"/>
  <c r="J30" i="4"/>
  <c r="K30" i="4" s="1"/>
  <c r="J24" i="4"/>
  <c r="K24" i="4" s="1"/>
  <c r="J31" i="4"/>
  <c r="K31" i="4" s="1"/>
  <c r="L30" i="4"/>
  <c r="L29" i="4"/>
  <c r="L31" i="4"/>
  <c r="L24" i="4"/>
  <c r="L32" i="4"/>
  <c r="K33" i="4"/>
  <c r="K32" i="4"/>
  <c r="Q57" i="1"/>
  <c r="Q58" i="1"/>
  <c r="U57" i="1"/>
  <c r="U58" i="1"/>
  <c r="S53" i="1"/>
  <c r="G53" i="1"/>
  <c r="C53" i="1"/>
  <c r="E39" i="1"/>
  <c r="E41" i="1"/>
  <c r="E42" i="1"/>
  <c r="E43" i="1"/>
  <c r="E44" i="1"/>
  <c r="E45" i="1"/>
  <c r="E47" i="1"/>
  <c r="E48" i="1"/>
  <c r="E49" i="1"/>
  <c r="E51" i="1"/>
  <c r="E52" i="1"/>
  <c r="I39" i="1"/>
  <c r="I41" i="1"/>
  <c r="I42" i="1"/>
  <c r="I43" i="1"/>
  <c r="I44" i="1"/>
  <c r="I45" i="1"/>
  <c r="I47" i="1"/>
  <c r="I48" i="1"/>
  <c r="I49" i="1"/>
  <c r="I50" i="1"/>
  <c r="I51" i="1"/>
  <c r="I52" i="1"/>
  <c r="M39" i="1"/>
  <c r="M41" i="1"/>
  <c r="M42" i="1"/>
  <c r="M43" i="1"/>
  <c r="M44" i="1"/>
  <c r="M45" i="1"/>
  <c r="M47" i="1"/>
  <c r="M48" i="1"/>
  <c r="M50" i="1"/>
  <c r="M51" i="1"/>
  <c r="M52" i="1"/>
  <c r="U39" i="1"/>
  <c r="U41" i="1"/>
  <c r="U42" i="1"/>
  <c r="U43" i="1"/>
  <c r="U44" i="1"/>
  <c r="U45" i="1"/>
  <c r="U48" i="1"/>
  <c r="U49" i="1"/>
  <c r="U50" i="1"/>
  <c r="U51" i="1"/>
  <c r="U52" i="1"/>
  <c r="S36" i="1"/>
  <c r="O36" i="1"/>
  <c r="K36" i="1"/>
  <c r="G36" i="1"/>
  <c r="C36" i="1"/>
  <c r="E21" i="1"/>
  <c r="E22" i="1"/>
  <c r="E28" i="1"/>
  <c r="E29" i="1"/>
  <c r="E30" i="1"/>
  <c r="E31" i="1"/>
  <c r="E32" i="1"/>
  <c r="E33" i="1"/>
  <c r="E34" i="1"/>
  <c r="E35" i="1"/>
  <c r="I21" i="1"/>
  <c r="I22" i="1"/>
  <c r="I28" i="1"/>
  <c r="I29" i="1"/>
  <c r="I30" i="1"/>
  <c r="I31" i="1"/>
  <c r="I32" i="1"/>
  <c r="I33" i="1"/>
  <c r="I34" i="1"/>
  <c r="I35" i="1"/>
  <c r="M21" i="1"/>
  <c r="M22" i="1"/>
  <c r="M28" i="1"/>
  <c r="M29" i="1"/>
  <c r="M30" i="1"/>
  <c r="M31" i="1"/>
  <c r="M32" i="1"/>
  <c r="M33" i="1"/>
  <c r="M34" i="1"/>
  <c r="M35" i="1"/>
  <c r="Q21" i="1"/>
  <c r="Q22" i="1"/>
  <c r="Q28" i="1"/>
  <c r="Q29" i="1"/>
  <c r="Q30" i="1"/>
  <c r="Q31" i="1"/>
  <c r="Q32" i="1"/>
  <c r="Q33" i="1"/>
  <c r="Q35" i="1"/>
  <c r="U21" i="1"/>
  <c r="U22" i="1"/>
  <c r="U28" i="1"/>
  <c r="U29" i="1"/>
  <c r="U30" i="1"/>
  <c r="U31" i="1"/>
  <c r="U32" i="1"/>
  <c r="U33" i="1"/>
  <c r="U35" i="1"/>
  <c r="S19" i="1"/>
  <c r="O19" i="1"/>
  <c r="K19" i="1"/>
  <c r="G19" i="1"/>
  <c r="C19" i="1"/>
  <c r="E5" i="1"/>
  <c r="E6" i="1"/>
  <c r="E7" i="1"/>
  <c r="E8" i="1"/>
  <c r="E9" i="1"/>
  <c r="E10" i="1"/>
  <c r="E12" i="1"/>
  <c r="E14" i="1"/>
  <c r="E15" i="1"/>
  <c r="E18" i="1"/>
  <c r="I5" i="1"/>
  <c r="I6" i="1"/>
  <c r="I7" i="1"/>
  <c r="I8" i="1"/>
  <c r="I9" i="1"/>
  <c r="I10" i="1"/>
  <c r="I12" i="1"/>
  <c r="I14" i="1"/>
  <c r="I15" i="1"/>
  <c r="I18" i="1"/>
  <c r="M5" i="1"/>
  <c r="M6" i="1"/>
  <c r="M7" i="1"/>
  <c r="M8" i="1"/>
  <c r="M9" i="1"/>
  <c r="M10" i="1"/>
  <c r="M12" i="1"/>
  <c r="M14" i="1"/>
  <c r="M15" i="1"/>
  <c r="M18" i="1"/>
  <c r="Q5" i="1"/>
  <c r="Q6" i="1"/>
  <c r="Q7" i="1"/>
  <c r="Q8" i="1"/>
  <c r="Q9" i="1"/>
  <c r="Q10" i="1"/>
  <c r="Q12" i="1"/>
  <c r="Q15" i="1"/>
  <c r="Q18" i="1"/>
  <c r="U5" i="1"/>
  <c r="U6" i="1"/>
  <c r="U7" i="1"/>
  <c r="U8" i="1"/>
  <c r="U9" i="1"/>
  <c r="U10" i="1"/>
  <c r="U12" i="1"/>
  <c r="U15" i="1"/>
  <c r="U18" i="1"/>
  <c r="U36" i="1" l="1"/>
  <c r="Q36" i="1"/>
  <c r="E36" i="1"/>
  <c r="O60" i="1"/>
  <c r="S60" i="1"/>
  <c r="L62" i="4" l="1"/>
  <c r="L61" i="4"/>
  <c r="J58" i="4"/>
  <c r="L57" i="4"/>
  <c r="J39" i="4"/>
  <c r="L38" i="4"/>
  <c r="J44" i="4"/>
  <c r="L43" i="4"/>
  <c r="J21" i="4"/>
  <c r="L20" i="4"/>
  <c r="D6" i="4" l="1"/>
  <c r="D14" i="4"/>
  <c r="D15" i="4"/>
  <c r="E14" i="4"/>
  <c r="E15" i="4"/>
  <c r="D55" i="4"/>
  <c r="D48" i="4"/>
  <c r="D41" i="4"/>
  <c r="D34" i="4"/>
  <c r="D25" i="4"/>
  <c r="D10" i="4"/>
  <c r="D7" i="4"/>
  <c r="D59" i="4"/>
  <c r="D52" i="4"/>
  <c r="D45" i="4"/>
  <c r="D49" i="4"/>
  <c r="D42" i="4"/>
  <c r="D35" i="4"/>
  <c r="D26" i="4"/>
  <c r="D36" i="4"/>
  <c r="D11" i="4"/>
  <c r="E23" i="4"/>
  <c r="D60" i="4"/>
  <c r="D53" i="4"/>
  <c r="D46" i="4"/>
  <c r="D50" i="4"/>
  <c r="D28" i="4"/>
  <c r="D22" i="4"/>
  <c r="D27" i="4"/>
  <c r="D19" i="4"/>
  <c r="D12" i="4"/>
  <c r="D54" i="4"/>
  <c r="D47" i="4"/>
  <c r="D40" i="4"/>
  <c r="D23" i="4"/>
  <c r="D56" i="4"/>
  <c r="D9" i="4"/>
  <c r="D8" i="4"/>
  <c r="I25" i="4"/>
  <c r="L25" i="4" s="1"/>
  <c r="E25" i="4"/>
  <c r="E47" i="4"/>
  <c r="E6" i="4"/>
  <c r="E11" i="4"/>
  <c r="E41" i="4"/>
  <c r="E12" i="4"/>
  <c r="L53" i="4"/>
  <c r="E56" i="4"/>
  <c r="E54" i="4"/>
  <c r="L49" i="4"/>
  <c r="E49" i="4"/>
  <c r="I7" i="4"/>
  <c r="L7" i="4" s="1"/>
  <c r="E8" i="4"/>
  <c r="I19" i="4"/>
  <c r="L19" i="4" s="1"/>
  <c r="I22" i="4"/>
  <c r="L22" i="4" s="1"/>
  <c r="I28" i="4"/>
  <c r="L28" i="4" s="1"/>
  <c r="I34" i="4"/>
  <c r="L34" i="4" s="1"/>
  <c r="I45" i="4"/>
  <c r="L45" i="4" s="1"/>
  <c r="L46" i="4"/>
  <c r="E53" i="4"/>
  <c r="E7" i="4"/>
  <c r="I10" i="4"/>
  <c r="L10" i="4" s="1"/>
  <c r="E19" i="4"/>
  <c r="E22" i="4"/>
  <c r="I27" i="4"/>
  <c r="L27" i="4" s="1"/>
  <c r="E28" i="4"/>
  <c r="E34" i="4"/>
  <c r="I37" i="4"/>
  <c r="L37" i="4" s="1"/>
  <c r="E45" i="4"/>
  <c r="E46" i="4"/>
  <c r="E10" i="4"/>
  <c r="I26" i="4"/>
  <c r="L26" i="4" s="1"/>
  <c r="E27" i="4"/>
  <c r="G27" i="4" s="1"/>
  <c r="J27" i="4" s="1"/>
  <c r="I36" i="4"/>
  <c r="L36" i="4" s="1"/>
  <c r="L52" i="4"/>
  <c r="I9" i="4"/>
  <c r="L9" i="4" s="1"/>
  <c r="I8" i="4"/>
  <c r="L8" i="4" s="1"/>
  <c r="E9" i="4"/>
  <c r="E26" i="4"/>
  <c r="E35" i="4"/>
  <c r="E36" i="4"/>
  <c r="E52" i="4"/>
  <c r="I15" i="4" l="1"/>
  <c r="G15" i="4"/>
  <c r="I14" i="4"/>
  <c r="G14" i="4"/>
  <c r="G23" i="4"/>
  <c r="I23" i="4"/>
  <c r="G47" i="4"/>
  <c r="G11" i="4"/>
  <c r="I11" i="4"/>
  <c r="I41" i="4"/>
  <c r="G41" i="4"/>
  <c r="J41" i="4" s="1"/>
  <c r="G53" i="4"/>
  <c r="J53" i="4" s="1"/>
  <c r="L6" i="4"/>
  <c r="G6" i="4"/>
  <c r="G12" i="4"/>
  <c r="I12" i="4"/>
  <c r="G56" i="4"/>
  <c r="G26" i="4"/>
  <c r="J26" i="4" s="1"/>
  <c r="G49" i="4"/>
  <c r="J49" i="4" s="1"/>
  <c r="G35" i="4"/>
  <c r="I35" i="4"/>
  <c r="K27" i="4"/>
  <c r="I42" i="4"/>
  <c r="L42" i="4" s="1"/>
  <c r="L50" i="4"/>
  <c r="L55" i="4"/>
  <c r="L48" i="4"/>
  <c r="L51" i="4"/>
  <c r="F59" i="4"/>
  <c r="I59" i="4" s="1"/>
  <c r="L59" i="4" s="1"/>
  <c r="I40" i="4"/>
  <c r="L40" i="4" s="1"/>
  <c r="I60" i="4"/>
  <c r="L60" i="4" s="1"/>
  <c r="L54" i="4"/>
  <c r="J6" i="4" l="1"/>
  <c r="J14" i="4"/>
  <c r="J12" i="4"/>
  <c r="K12" i="4" s="1"/>
  <c r="J15" i="4"/>
  <c r="K15" i="4" s="1"/>
  <c r="J35" i="4"/>
  <c r="K35" i="4" s="1"/>
  <c r="J56" i="4"/>
  <c r="K56" i="4" s="1"/>
  <c r="J47" i="4"/>
  <c r="J11" i="4"/>
  <c r="K11" i="4" s="1"/>
  <c r="J23" i="4"/>
  <c r="K14" i="4"/>
  <c r="L14" i="4"/>
  <c r="L35" i="4"/>
  <c r="L11" i="4"/>
  <c r="L23" i="4"/>
  <c r="L56" i="4"/>
  <c r="L12" i="4"/>
  <c r="L15" i="4"/>
  <c r="L41" i="4"/>
  <c r="L47" i="4"/>
  <c r="K26" i="4"/>
  <c r="K49" i="1"/>
  <c r="L56" i="2"/>
  <c r="L51" i="2"/>
  <c r="L36" i="2"/>
  <c r="L20" i="2"/>
  <c r="J37" i="2"/>
  <c r="J21" i="2"/>
  <c r="K23" i="4" l="1"/>
  <c r="E29" i="2"/>
  <c r="D29" i="2"/>
  <c r="E31" i="2"/>
  <c r="D31" i="2"/>
  <c r="D27" i="2"/>
  <c r="D28" i="2"/>
  <c r="D30" i="2"/>
  <c r="E27" i="2"/>
  <c r="E28" i="2"/>
  <c r="E30" i="2"/>
  <c r="I27" i="2"/>
  <c r="L27" i="2" s="1"/>
  <c r="D44" i="2"/>
  <c r="D48" i="2"/>
  <c r="D39" i="2"/>
  <c r="D43" i="2"/>
  <c r="D25" i="2"/>
  <c r="D33" i="2"/>
  <c r="D45" i="2"/>
  <c r="D49" i="2"/>
  <c r="D40" i="2"/>
  <c r="D22" i="2"/>
  <c r="D26" i="2"/>
  <c r="D34" i="2"/>
  <c r="D46" i="2"/>
  <c r="D50" i="2"/>
  <c r="D41" i="2"/>
  <c r="D23" i="2"/>
  <c r="D35" i="2"/>
  <c r="D47" i="2"/>
  <c r="D38" i="2"/>
  <c r="D42" i="2"/>
  <c r="D24" i="2"/>
  <c r="D32" i="2"/>
  <c r="E40" i="2"/>
  <c r="I22" i="2"/>
  <c r="L22" i="2" s="1"/>
  <c r="I33" i="2"/>
  <c r="L33" i="2" s="1"/>
  <c r="I39" i="2"/>
  <c r="L39" i="2" s="1"/>
  <c r="I48" i="2"/>
  <c r="L48" i="2" s="1"/>
  <c r="I34" i="2"/>
  <c r="L34" i="2" s="1"/>
  <c r="I41" i="2"/>
  <c r="L41" i="2" s="1"/>
  <c r="I45" i="2"/>
  <c r="L45" i="2" s="1"/>
  <c r="I49" i="2"/>
  <c r="L49" i="2" s="1"/>
  <c r="I19" i="2"/>
  <c r="L19" i="2" s="1"/>
  <c r="I35" i="2"/>
  <c r="L35" i="2" s="1"/>
  <c r="I10" i="2"/>
  <c r="L10" i="2" s="1"/>
  <c r="I42" i="2"/>
  <c r="L42" i="2" s="1"/>
  <c r="I46" i="2"/>
  <c r="L46" i="2" s="1"/>
  <c r="I25" i="2"/>
  <c r="L25" i="2" s="1"/>
  <c r="I32" i="2"/>
  <c r="L32" i="2" s="1"/>
  <c r="I38" i="2"/>
  <c r="L38" i="2" s="1"/>
  <c r="I43" i="2"/>
  <c r="L43" i="2" s="1"/>
  <c r="I47" i="2"/>
  <c r="L47" i="2" s="1"/>
  <c r="I44" i="2"/>
  <c r="L44" i="2" s="1"/>
  <c r="M49" i="1"/>
  <c r="K53" i="1"/>
  <c r="E43" i="2"/>
  <c r="E47" i="2"/>
  <c r="E49" i="2"/>
  <c r="E41" i="2"/>
  <c r="E48" i="2"/>
  <c r="E50" i="2"/>
  <c r="E39" i="2"/>
  <c r="E42" i="2"/>
  <c r="E45" i="2"/>
  <c r="E34" i="2"/>
  <c r="E23" i="2"/>
  <c r="E25" i="2"/>
  <c r="E33" i="2"/>
  <c r="E22" i="2"/>
  <c r="E24" i="2"/>
  <c r="E26" i="2"/>
  <c r="L7" i="6" l="1"/>
  <c r="G5" i="6"/>
  <c r="J5" i="6" s="1"/>
  <c r="G7" i="6"/>
  <c r="J7" i="6" s="1"/>
  <c r="K7" i="6" s="1"/>
  <c r="I29" i="2"/>
  <c r="L29" i="2" s="1"/>
  <c r="G29" i="2"/>
  <c r="I31" i="2"/>
  <c r="L31" i="2" s="1"/>
  <c r="G31" i="2"/>
  <c r="I26" i="2"/>
  <c r="L26" i="2" s="1"/>
  <c r="G27" i="2"/>
  <c r="J27" i="2" s="1"/>
  <c r="I24" i="2"/>
  <c r="L24" i="2" s="1"/>
  <c r="I28" i="2"/>
  <c r="L28" i="2" s="1"/>
  <c r="G28" i="2"/>
  <c r="I23" i="2"/>
  <c r="L23" i="2" s="1"/>
  <c r="I30" i="2"/>
  <c r="L30" i="2" s="1"/>
  <c r="G30" i="2"/>
  <c r="I40" i="2"/>
  <c r="L40" i="2" s="1"/>
  <c r="G40" i="2"/>
  <c r="I14" i="2"/>
  <c r="L14" i="2" s="1"/>
  <c r="G14" i="2"/>
  <c r="I11" i="2"/>
  <c r="L11" i="2" s="1"/>
  <c r="G11" i="2"/>
  <c r="G49" i="2"/>
  <c r="J49" i="2" s="1"/>
  <c r="G47" i="2"/>
  <c r="J47" i="2" s="1"/>
  <c r="G39" i="2"/>
  <c r="J39" i="2" s="1"/>
  <c r="G48" i="2"/>
  <c r="J48" i="2" s="1"/>
  <c r="G42" i="2"/>
  <c r="G41" i="2"/>
  <c r="J41" i="2" s="1"/>
  <c r="G43" i="2"/>
  <c r="J43" i="2" s="1"/>
  <c r="G19" i="2"/>
  <c r="J19" i="2" s="1"/>
  <c r="G45" i="2"/>
  <c r="J45" i="2" s="1"/>
  <c r="G24" i="2"/>
  <c r="G33" i="2"/>
  <c r="J33" i="2" s="1"/>
  <c r="G25" i="2"/>
  <c r="J25" i="2" s="1"/>
  <c r="G26" i="2"/>
  <c r="G23" i="2"/>
  <c r="G34" i="2"/>
  <c r="J34" i="2" s="1"/>
  <c r="G22" i="2"/>
  <c r="J24" i="2" l="1"/>
  <c r="K24" i="2" s="1"/>
  <c r="J22" i="2"/>
  <c r="J42" i="2"/>
  <c r="K42" i="2" s="1"/>
  <c r="K5" i="6"/>
  <c r="J23" i="2"/>
  <c r="K23" i="2" s="1"/>
  <c r="J26" i="2"/>
  <c r="K26" i="2" s="1"/>
  <c r="J11" i="2"/>
  <c r="J14" i="2"/>
  <c r="J30" i="2"/>
  <c r="K30" i="2" s="1"/>
  <c r="J31" i="2"/>
  <c r="K31" i="2" s="1"/>
  <c r="J40" i="2"/>
  <c r="J29" i="2"/>
  <c r="K29" i="2" s="1"/>
  <c r="J28" i="2"/>
  <c r="K28" i="2" s="1"/>
  <c r="G18" i="6"/>
  <c r="K27" i="2"/>
  <c r="K48" i="2"/>
  <c r="K25" i="2"/>
  <c r="K33" i="2"/>
  <c r="K49" i="2"/>
  <c r="K39" i="2"/>
  <c r="K47" i="2"/>
  <c r="K41" i="2"/>
  <c r="K43" i="2"/>
  <c r="K22" i="2"/>
  <c r="K34" i="2"/>
  <c r="G5" i="14" l="1"/>
  <c r="G6" i="14"/>
  <c r="G7" i="14"/>
  <c r="G8" i="14"/>
  <c r="G9" i="14"/>
  <c r="G10" i="14"/>
  <c r="G11" i="14"/>
  <c r="G12" i="14"/>
  <c r="G13" i="14"/>
  <c r="G14" i="14"/>
  <c r="G15" i="14"/>
  <c r="G16" i="14"/>
  <c r="G17" i="14"/>
  <c r="G18" i="14"/>
  <c r="G19" i="14"/>
  <c r="G20" i="14"/>
  <c r="G21" i="14"/>
  <c r="G22" i="14"/>
  <c r="G23" i="14"/>
  <c r="G24" i="14"/>
  <c r="G25" i="14"/>
  <c r="G26" i="14"/>
  <c r="G27" i="14"/>
  <c r="G28" i="14"/>
  <c r="G4" i="14"/>
  <c r="K28" i="14"/>
  <c r="L28" i="14" s="1"/>
  <c r="K27" i="14"/>
  <c r="L27" i="14" s="1"/>
  <c r="K26" i="14"/>
  <c r="L26" i="14" s="1"/>
  <c r="K25" i="14"/>
  <c r="L25" i="14" s="1"/>
  <c r="K24" i="14"/>
  <c r="L24" i="14" s="1"/>
  <c r="K23" i="14"/>
  <c r="L23" i="14" s="1"/>
  <c r="K22" i="14"/>
  <c r="L22" i="14" s="1"/>
  <c r="K21" i="14"/>
  <c r="L21" i="14" s="1"/>
  <c r="K20" i="14"/>
  <c r="L20" i="14" s="1"/>
  <c r="K19" i="14"/>
  <c r="L19" i="14" s="1"/>
  <c r="K18" i="14"/>
  <c r="L18" i="14" s="1"/>
  <c r="K17" i="14"/>
  <c r="L17" i="14" s="1"/>
  <c r="K16" i="14"/>
  <c r="L16" i="14" s="1"/>
  <c r="K15" i="14"/>
  <c r="L15" i="14" s="1"/>
  <c r="K14" i="14"/>
  <c r="L14" i="14" s="1"/>
  <c r="K13" i="14"/>
  <c r="L13" i="14" s="1"/>
  <c r="K12" i="14"/>
  <c r="L12" i="14" s="1"/>
  <c r="K11" i="14"/>
  <c r="L11" i="14" s="1"/>
  <c r="K10" i="14"/>
  <c r="L10" i="14" s="1"/>
  <c r="K9" i="14"/>
  <c r="L9" i="14" s="1"/>
  <c r="K8" i="14"/>
  <c r="L8" i="14" s="1"/>
  <c r="K7" i="14"/>
  <c r="L7" i="14" s="1"/>
  <c r="K6" i="14"/>
  <c r="L6" i="14" s="1"/>
  <c r="K5" i="14"/>
  <c r="L5" i="14" s="1"/>
  <c r="K4" i="14"/>
  <c r="L4" i="14" s="1"/>
  <c r="G29" i="14" l="1"/>
  <c r="L29" i="14"/>
  <c r="E33" i="11" s="1"/>
  <c r="I28" i="13" l="1"/>
  <c r="I27" i="13"/>
  <c r="I26" i="13"/>
  <c r="I25" i="13"/>
  <c r="I24" i="13"/>
  <c r="I23" i="13"/>
  <c r="I22" i="13"/>
  <c r="I21" i="13"/>
  <c r="I20" i="13"/>
  <c r="I19" i="13"/>
  <c r="I18" i="13"/>
  <c r="I17" i="13"/>
  <c r="I16" i="13"/>
  <c r="I15" i="13"/>
  <c r="I14" i="13"/>
  <c r="I13" i="13"/>
  <c r="I12" i="13"/>
  <c r="I11" i="13"/>
  <c r="I10" i="13"/>
  <c r="I9" i="13"/>
  <c r="I8" i="13"/>
  <c r="I7" i="13"/>
  <c r="I6" i="13"/>
  <c r="I5" i="13"/>
  <c r="I4" i="13"/>
  <c r="F45" i="11"/>
  <c r="E39" i="11"/>
  <c r="I29" i="13" l="1"/>
  <c r="E34" i="11"/>
  <c r="E40" i="11"/>
  <c r="E41" i="11" l="1"/>
  <c r="Q4" i="1" l="1"/>
  <c r="Q19" i="1" s="1"/>
  <c r="J18" i="6" l="1"/>
  <c r="E17" i="11" l="1"/>
  <c r="K18" i="6"/>
  <c r="F17" i="11" s="1"/>
  <c r="G6" i="2"/>
  <c r="J6" i="2" s="1"/>
  <c r="K6" i="2" s="1"/>
  <c r="G54" i="4" l="1"/>
  <c r="G46" i="4"/>
  <c r="G45" i="4"/>
  <c r="G8" i="4"/>
  <c r="G34" i="4"/>
  <c r="G36" i="4"/>
  <c r="G37" i="4"/>
  <c r="G19" i="4"/>
  <c r="G10" i="4"/>
  <c r="G28" i="4"/>
  <c r="G25" i="4"/>
  <c r="G22" i="4"/>
  <c r="G7" i="4"/>
  <c r="G9" i="4"/>
  <c r="K19" i="2"/>
  <c r="G20" i="4" l="1"/>
  <c r="J22" i="4"/>
  <c r="K22" i="4" s="1"/>
  <c r="G38" i="4"/>
  <c r="J45" i="4"/>
  <c r="K45" i="4" s="1"/>
  <c r="J8" i="4"/>
  <c r="K8" i="4" s="1"/>
  <c r="J25" i="4"/>
  <c r="K25" i="4" s="1"/>
  <c r="J37" i="4"/>
  <c r="K37" i="4" s="1"/>
  <c r="J7" i="4"/>
  <c r="J46" i="4"/>
  <c r="K46" i="4" s="1"/>
  <c r="J19" i="4"/>
  <c r="K19" i="4" s="1"/>
  <c r="J9" i="4"/>
  <c r="K9" i="4" s="1"/>
  <c r="J28" i="4"/>
  <c r="K28" i="4" s="1"/>
  <c r="J36" i="4"/>
  <c r="K36" i="4" s="1"/>
  <c r="J10" i="4"/>
  <c r="K10" i="4" s="1"/>
  <c r="J34" i="4"/>
  <c r="K34" i="4" s="1"/>
  <c r="J54" i="4"/>
  <c r="K54" i="4" s="1"/>
  <c r="K6" i="4"/>
  <c r="J20" i="4" l="1"/>
  <c r="E24" i="11" s="1"/>
  <c r="J38" i="4"/>
  <c r="E25" i="11" s="1"/>
  <c r="K7" i="4"/>
  <c r="K20" i="4" l="1"/>
  <c r="F24" i="11" s="1"/>
  <c r="K38" i="4"/>
  <c r="F25" i="11" s="1"/>
  <c r="E59" i="4" l="1"/>
  <c r="J59" i="4" s="1"/>
  <c r="E55" i="4"/>
  <c r="E50" i="4"/>
  <c r="E48" i="4"/>
  <c r="E42" i="4"/>
  <c r="J60" i="4"/>
  <c r="E40" i="4"/>
  <c r="J61" i="4" l="1"/>
  <c r="E28" i="11" s="1"/>
  <c r="G40" i="4"/>
  <c r="G51" i="4"/>
  <c r="G50" i="4"/>
  <c r="G42" i="4"/>
  <c r="G48" i="4"/>
  <c r="G60" i="4"/>
  <c r="K60" i="4" s="1"/>
  <c r="G55" i="4"/>
  <c r="G59" i="4"/>
  <c r="G52" i="4"/>
  <c r="G43" i="4" l="1"/>
  <c r="J48" i="4"/>
  <c r="K48" i="4" s="1"/>
  <c r="G57" i="4"/>
  <c r="G61" i="4"/>
  <c r="K61" i="4" s="1"/>
  <c r="J55" i="4"/>
  <c r="K55" i="4" s="1"/>
  <c r="J52" i="4"/>
  <c r="K52" i="4" s="1"/>
  <c r="J40" i="4"/>
  <c r="J42" i="4"/>
  <c r="K42" i="4" s="1"/>
  <c r="J50" i="4"/>
  <c r="J51" i="4"/>
  <c r="K51" i="4" s="1"/>
  <c r="K59" i="4"/>
  <c r="E59" i="1"/>
  <c r="G59" i="1"/>
  <c r="G60" i="1" s="1"/>
  <c r="M59" i="1"/>
  <c r="K59" i="1"/>
  <c r="K60" i="1" s="1"/>
  <c r="I59" i="1"/>
  <c r="C59" i="1"/>
  <c r="C60" i="1" s="1"/>
  <c r="F28" i="11" l="1"/>
  <c r="J43" i="4"/>
  <c r="E26" i="11" s="1"/>
  <c r="J57" i="4"/>
  <c r="K57" i="4" s="1"/>
  <c r="K50" i="4"/>
  <c r="K40" i="4"/>
  <c r="G62" i="4"/>
  <c r="F27" i="11" l="1"/>
  <c r="J62" i="4"/>
  <c r="K43" i="4"/>
  <c r="F26" i="11" s="1"/>
  <c r="E27" i="11"/>
  <c r="U56" i="1"/>
  <c r="U59" i="1" s="1"/>
  <c r="Q56" i="1"/>
  <c r="Q59" i="1" s="1"/>
  <c r="U38" i="1"/>
  <c r="U53" i="1" s="1"/>
  <c r="Q38" i="1"/>
  <c r="Q53" i="1" s="1"/>
  <c r="U4" i="1"/>
  <c r="U19" i="1" s="1"/>
  <c r="F23" i="11" l="1"/>
  <c r="Q60" i="1"/>
  <c r="U60" i="1" l="1"/>
  <c r="E46" i="2"/>
  <c r="E44" i="2"/>
  <c r="E38" i="2"/>
  <c r="E35" i="2"/>
  <c r="E32" i="2"/>
  <c r="G32" i="2" l="1"/>
  <c r="G38" i="2"/>
  <c r="J38" i="2" s="1"/>
  <c r="G44" i="2"/>
  <c r="G50" i="2"/>
  <c r="J50" i="2" s="1"/>
  <c r="G35" i="2"/>
  <c r="J35" i="2" s="1"/>
  <c r="G46" i="2"/>
  <c r="J46" i="2" s="1"/>
  <c r="M38" i="1"/>
  <c r="M53" i="1" s="1"/>
  <c r="I38" i="1"/>
  <c r="I53" i="1" s="1"/>
  <c r="E38" i="1"/>
  <c r="E53" i="1" s="1"/>
  <c r="M36" i="1"/>
  <c r="I36" i="1"/>
  <c r="M4" i="1"/>
  <c r="M19" i="1" s="1"/>
  <c r="I4" i="1"/>
  <c r="I19" i="1" s="1"/>
  <c r="E4" i="1"/>
  <c r="E19" i="1" s="1"/>
  <c r="G36" i="2" l="1"/>
  <c r="J44" i="2"/>
  <c r="K44" i="2" s="1"/>
  <c r="J32" i="2"/>
  <c r="J36" i="2" s="1"/>
  <c r="E20" i="11" s="1"/>
  <c r="I60" i="1"/>
  <c r="E60" i="1"/>
  <c r="M60" i="1"/>
  <c r="G7" i="2"/>
  <c r="J7" i="2" s="1"/>
  <c r="G10" i="2"/>
  <c r="J10" i="2" s="1"/>
  <c r="K46" i="2"/>
  <c r="K35" i="2"/>
  <c r="K50" i="2"/>
  <c r="K38" i="2"/>
  <c r="G51" i="2"/>
  <c r="J51" i="2" l="1"/>
  <c r="E21" i="11" s="1"/>
  <c r="K55" i="2"/>
  <c r="F22" i="11" s="1"/>
  <c r="K32" i="2"/>
  <c r="G20" i="2"/>
  <c r="G56" i="2" s="1"/>
  <c r="J20" i="2"/>
  <c r="K36" i="2"/>
  <c r="K7" i="2"/>
  <c r="K51" i="2"/>
  <c r="F21" i="11" s="1"/>
  <c r="K10" i="2"/>
  <c r="J56" i="2" l="1"/>
  <c r="K56" i="2" s="1"/>
  <c r="E19" i="11"/>
  <c r="E35" i="11" s="1"/>
  <c r="F39" i="11" s="1"/>
  <c r="E45" i="11" s="1"/>
  <c r="F20" i="11"/>
  <c r="K20" i="2"/>
  <c r="F19" i="11" s="1"/>
  <c r="F40" i="11" l="1"/>
  <c r="F41" i="11" s="1"/>
  <c r="F54" i="11"/>
  <c r="F18" i="11"/>
  <c r="F52" i="11"/>
  <c r="E52" i="11" s="1"/>
  <c r="F47" i="11"/>
  <c r="F46" i="11" s="1"/>
  <c r="E46" i="11" s="1"/>
  <c r="E47" i="11" s="1"/>
  <c r="F53" i="11" l="1"/>
  <c r="E53" i="11" s="1"/>
  <c r="E54" i="11" s="1"/>
</calcChain>
</file>

<file path=xl/sharedStrings.xml><?xml version="1.0" encoding="utf-8"?>
<sst xmlns="http://schemas.openxmlformats.org/spreadsheetml/2006/main" count="904" uniqueCount="482">
  <si>
    <t>תקן ריהוט וציוד לדיור קהילתי</t>
  </si>
  <si>
    <t xml:space="preserve">פירוט הגליונות / שורות מוסתרים </t>
  </si>
  <si>
    <t>א. גיליון נוסחאות - מוסתר כולו</t>
  </si>
  <si>
    <t xml:space="preserve">ב. סיווג דירות - מוסתר בשני גליונות בתאים  G1-G2  (נכתב בלבן על רקע לבן): </t>
  </si>
  <si>
    <t xml:space="preserve">     </t>
  </si>
  <si>
    <t>גיליון דירה קהילתית-חללים משותפים</t>
  </si>
  <si>
    <t>גיליון בית שיתופי - חללים משותפים</t>
  </si>
  <si>
    <t xml:space="preserve">ג. גיליון סיכום לוועדה - הסתרות </t>
  </si>
  <si>
    <t>ג.1 תא  G7 - תקציב קול קורא - הוסתר</t>
  </si>
  <si>
    <t xml:space="preserve">      נרשם בו תקציב בסכום של מיליון ש"ח</t>
  </si>
  <si>
    <t>ג. 2 שתי טבלאות עבודה-שורות  37-48 הוסתרו</t>
  </si>
  <si>
    <t>מחירון והערות</t>
  </si>
  <si>
    <t>סוג הריהוט/ציוד</t>
  </si>
  <si>
    <t>עד 4</t>
  </si>
  <si>
    <t>עד 6</t>
  </si>
  <si>
    <t>עד 8</t>
  </si>
  <si>
    <t>עד 16</t>
  </si>
  <si>
    <t>עד 24</t>
  </si>
  <si>
    <t>תאור</t>
  </si>
  <si>
    <t>מחיר בש"ח</t>
  </si>
  <si>
    <t>כמות</t>
  </si>
  <si>
    <t>עלות מקסימלית</t>
  </si>
  <si>
    <t>כלי בישול אחסון הגשה וניקוי</t>
  </si>
  <si>
    <t>-</t>
  </si>
  <si>
    <t>מיקרוגל</t>
  </si>
  <si>
    <t>מעבד מזון</t>
  </si>
  <si>
    <t>5 ליטר</t>
  </si>
  <si>
    <t>מקרר</t>
  </si>
  <si>
    <t>600 ליטר</t>
  </si>
  <si>
    <t>700 ליטר</t>
  </si>
  <si>
    <t>מקרר תעשייתי ללא מקפיא 700 ליטר</t>
  </si>
  <si>
    <t>פלטת חימום לשבת</t>
  </si>
  <si>
    <t>קומקום חשמלי</t>
  </si>
  <si>
    <t xml:space="preserve">תנור בישול ואפייה </t>
  </si>
  <si>
    <t>קונווקטומט/ קומביסטימר</t>
  </si>
  <si>
    <t>כיריים אינדוקציה</t>
  </si>
  <si>
    <t>מיחם חשמלי</t>
  </si>
  <si>
    <t>מתקן מים קרים/ חמים</t>
  </si>
  <si>
    <t>פינת אוכל</t>
  </si>
  <si>
    <t>שולחן + 4 כסאות</t>
  </si>
  <si>
    <t>שולחן + 6 כסאות</t>
  </si>
  <si>
    <t>שולחן + 8 כסאות</t>
  </si>
  <si>
    <t xml:space="preserve"> שולחן+8 כסאות</t>
  </si>
  <si>
    <t xml:space="preserve">מדיח כלים </t>
  </si>
  <si>
    <t>ביתי</t>
  </si>
  <si>
    <t>תעשייתי</t>
  </si>
  <si>
    <t>שייקר</t>
  </si>
  <si>
    <t>גריל חשמלי/ נינג'ה</t>
  </si>
  <si>
    <t>מכשיר לטיגון/ בישול ללא שמן</t>
  </si>
  <si>
    <t>מקפיא</t>
  </si>
  <si>
    <t>מקפיא בלבד 700 ליטר</t>
  </si>
  <si>
    <t>סה"כ מטבח</t>
  </si>
  <si>
    <t>וילונות חסיני אש</t>
  </si>
  <si>
    <t>עלות לחדר סטנדרטי 6 מ"ר</t>
  </si>
  <si>
    <t>עלות לחדר סטנדרטי 12 מ"ר</t>
  </si>
  <si>
    <t xml:space="preserve">טלוויזיה כולל מגן ואביזרי תליה/ העמדה </t>
  </si>
  <si>
    <t>גודל לפי צרכי המקום</t>
  </si>
  <si>
    <t>מערכת שמע</t>
  </si>
  <si>
    <t>מערכת  מצלמות</t>
  </si>
  <si>
    <t xml:space="preserve"> באזורים משותפים</t>
  </si>
  <si>
    <t>מנעול חכם כולל התקנה</t>
  </si>
  <si>
    <t>לדלת כניסה לדירה</t>
  </si>
  <si>
    <t>פעמון כניסה + מצלמה</t>
  </si>
  <si>
    <t>גלאי עשן כולל התקנה</t>
  </si>
  <si>
    <t>מאושר ע"י מת"י</t>
  </si>
  <si>
    <t>מזגן  אינוורטור</t>
  </si>
  <si>
    <t xml:space="preserve">  2.5 כ"ס</t>
  </si>
  <si>
    <t xml:space="preserve"> 3.5 כ"ס</t>
  </si>
  <si>
    <t>מחשב קומפלט</t>
  </si>
  <si>
    <t>נייח או נייד לפי הצורך</t>
  </si>
  <si>
    <t>מדפסת משולבת</t>
  </si>
  <si>
    <t>סלון</t>
  </si>
  <si>
    <t>1+2+3</t>
  </si>
  <si>
    <t>1+2+3+3</t>
  </si>
  <si>
    <t xml:space="preserve">  1+2+3+3</t>
  </si>
  <si>
    <t>שולחן (סלון)</t>
  </si>
  <si>
    <t>מזנון/מדפים</t>
  </si>
  <si>
    <t>חפצי נוי לסלון</t>
  </si>
  <si>
    <t>כורסאות ישיבה</t>
  </si>
  <si>
    <t>6 כורסאות</t>
  </si>
  <si>
    <t>9 כורסאות</t>
  </si>
  <si>
    <t>סה"כ סלון</t>
  </si>
  <si>
    <t>מגהץ + קרש</t>
  </si>
  <si>
    <t>מייבש כביסה</t>
  </si>
  <si>
    <t xml:space="preserve"> תעשייתי/ אפשר להמיר ברגיל</t>
  </si>
  <si>
    <t>שואב אבק רובוטי</t>
  </si>
  <si>
    <t>שואב אבק ידני</t>
  </si>
  <si>
    <t>מכונת כביסה</t>
  </si>
  <si>
    <t>פתח קדמי, 6 ק"ג</t>
  </si>
  <si>
    <t>פתח קדמי, 9 ק"ג</t>
  </si>
  <si>
    <t xml:space="preserve"> תעשייתית/ אפשר להמיר ברגילה</t>
  </si>
  <si>
    <t xml:space="preserve">מתקנים ושירותים לאמבטיה </t>
  </si>
  <si>
    <t>כולל מראות, מחזיקי נייר טואלט, מתלים, פח לשירותים ומברשת, שטיחון אמבטיה ומשטח נגד החלקה</t>
  </si>
  <si>
    <t xml:space="preserve">ארגז כלי עבודה </t>
  </si>
  <si>
    <t>ארון עזרה ראשונה קטן</t>
  </si>
  <si>
    <t>דפיבריליאטור</t>
  </si>
  <si>
    <t xml:space="preserve">מטף </t>
  </si>
  <si>
    <t>6 ק"ג</t>
  </si>
  <si>
    <t>תאורת חירום</t>
  </si>
  <si>
    <t>2 סטים</t>
  </si>
  <si>
    <t>3 סטים</t>
  </si>
  <si>
    <t>סולם</t>
  </si>
  <si>
    <t>4 שלבים</t>
  </si>
  <si>
    <t>ציוד לשעת פנאי</t>
  </si>
  <si>
    <t>עיצוב פנים וייעוץ מקצועי</t>
  </si>
  <si>
    <t>מקרר קטן לתרופות</t>
  </si>
  <si>
    <t>140 ליטר</t>
  </si>
  <si>
    <t>סה"כ ציוד נוסף</t>
  </si>
  <si>
    <t>מתקן חצר</t>
  </si>
  <si>
    <t>לפי בחירת הגוף</t>
  </si>
  <si>
    <t>משטחי גומי</t>
  </si>
  <si>
    <t>כמות במ"ר/ לא כולל תשתית הנדרשת להנחת משטחי הגומי</t>
  </si>
  <si>
    <t>הצללה</t>
  </si>
  <si>
    <t>פינת ישיבה לחצר</t>
  </si>
  <si>
    <t>לפי מאפייני המקום</t>
  </si>
  <si>
    <t>ציוד תחזוקת חצר וגינה</t>
  </si>
  <si>
    <t>סה"כ ציוד חצר</t>
  </si>
  <si>
    <t>סה"כ ריהוט וציוד נוסף (עבור לדירה בקהילה)</t>
  </si>
  <si>
    <t>ה מ ו ס ד    ל ב י ט ו ח    ל א ו  מ י</t>
  </si>
  <si>
    <t>קרנות הביטוח הלאומי</t>
  </si>
  <si>
    <t>הקרן לפיתוח שירותים לנכים</t>
  </si>
  <si>
    <t xml:space="preserve">תקן ריהוט וציוד לדיור  קהילתי </t>
  </si>
  <si>
    <t xml:space="preserve">הקרן מעניקה סיוע למסגרות דיור מוגן קהילתי לאנשים עם צרכים מיוחדים לצורך הצטיידות. הזכות לדיור נאות הינה חלק מזכויות האדם, לה זכאים אנשים עם מוגבלות וללא מוגבלות כאחד. אנשים עם מוגבלות זקוקים, בחלקם, למעטפת טיפולית מסוגים שונים. עזרה כזו היא נגזרת של מסגרת הדיור בה ניתן להפעיל מערך טיפולי המותאם ליכולת התפקוד והעצמאות של אנשים עם מוגבלות.
רצף הפתרונות יכול לנוע מדירת לוויין בקצה הקל של המעטפת הטיפולית ועד לדיור בהוסטל בו ישנן תשומות טיפוליות במשך כל שעות היממה, לאורך כל השבוע. </t>
  </si>
  <si>
    <t xml:space="preserve">הסיוע בהצטיידות ניתן לבניית פלטפורמה שיקומית המאפשרת דיור ברמה גבוהה: דירות אסתטיות, מאובזרות היטב בכל הנדרש לחיים נורמטיביים עם דגש על רהיטים איכותיים ועיצוב פנים.
שיפור איכות הטיפול לדיירים ולצוות במסגרות המוקמות על ידי הצטיידות מותאמת, פונקציונלית ואיכותית.
</t>
  </si>
  <si>
    <t>תקן זה, המתבסס על תקן קודם,  נבדק  על ידי יועץ כלכלי מטעמנו ועל ידי סגן/ית החשב במוסד: עודכנו עלויות הציוד, נוספו פריטים ונלקחו בחשבון הצרכים המשתנים של הדיירים ושינויים באופי מערכי הדיור בשנים האחרונות.</t>
  </si>
  <si>
    <t>התקן נותן מענה לצרכים הבסיסיים הנדרשים בסוגים השונים של דיור קהילתי ומאפשר רכישה של מוצרים אלו ברמה סבירה. יש לקחת בחשבון כי הצטיידות יכולה להיעשות בטווח רחב מאוד של עלויות, ואילו העלויות המצוינות בו באות לענות על סטנדרט אשר נמצא מתאים מבחינת איכות החומרים ויכולתם להישמר לאורך זמן.</t>
  </si>
  <si>
    <t xml:space="preserve"> התקן נכתב בפורמט אקסל על מנת שיהווה כלי עבודה עבורכם לתמחורים בעת רכישת הציוד. </t>
  </si>
  <si>
    <t>התקן גמיש ומודולרי כמו כן ניתן לבצע בו המרות בתנאי שאלו יאושרו בוועדת היגוי.</t>
  </si>
  <si>
    <t xml:space="preserve"> עלויות התקן חושבו על פי מספר דיירים בדירה ובחלקן לפי מספר חדרי שינה.</t>
  </si>
  <si>
    <t>בתקן הוכנסו רכיבים מסוימים הבאים לענות על צרכים של אוכלוסיות ייעודיות: אוכלוסייה מזדקנת, אוכלוסיית אנשים אי שקטים או אנשים עם אוטיזם בתפקוד נמוך הזקוקים לפרטי ציוד עמידים במיוחד.</t>
  </si>
  <si>
    <t xml:space="preserve">סיוע הקרן בהצטיידות יינתן פעם אחת לכל דייר. הקרן איננה מחדשת ציוד.    </t>
  </si>
  <si>
    <t>הקרן ממליצה בחום  להיעזר באנשי מקצוע מתחום עיצוב פנים בעת ציוד הדירות מתוך תפיסה מקצועית  כי עיצוב מזמין, אסתטי ובעל צביון ביתי ככל שניתן הוא חלק אינטגרלי מתהליך שיקומי באשר הוא.</t>
  </si>
  <si>
    <t xml:space="preserve"> אנו מקווים כי התקן המחודש יימצא כיעיל ונח לשימוש, כמו גם ככלי עבודה טוב במהלך רכישת הציוד.</t>
  </si>
  <si>
    <t>הגשת בקשה להצטיידות לפי תקן אינה מחייבת את הקרן לאישור הבקשה, סכום ואחוז הסיוע נתונים לשיקול החלטתה הבלעדי של הקרן. אחוז הסיוע המצויין הינו מקסימלי ביחס לדירוג סוציואקונומי של הישוב.</t>
  </si>
  <si>
    <t xml:space="preserve">תקן ריהוט וציוד לדיור קהילתי </t>
  </si>
  <si>
    <t>תוכן עניינים</t>
  </si>
  <si>
    <t>הסברים והערות לממלא הבקשה</t>
  </si>
  <si>
    <t>גיליונות הסבר והכנה</t>
  </si>
  <si>
    <t>פתיח</t>
  </si>
  <si>
    <t>יש לקרוא לפני מילוי הבקשה</t>
  </si>
  <si>
    <t>שאלון למילוי הגוף</t>
  </si>
  <si>
    <t xml:space="preserve">חובה למלא את כל הסעיפים </t>
  </si>
  <si>
    <t>גיליונות הבקשה</t>
  </si>
  <si>
    <t>חדרי שינה: ציוד וריהוט</t>
  </si>
  <si>
    <t>חדרי שינה בלבד לא כולל חללים משותפים</t>
  </si>
  <si>
    <t>דירה קהלתית: ציוד חללים משותפים (עד 8 דיירים)</t>
  </si>
  <si>
    <t>מיועד לדירות עד 8 דיירים</t>
  </si>
  <si>
    <t>בית שיתופי: ציוד חללים משותפים (מעל 8 דיירים)</t>
  </si>
  <si>
    <t>מיועד לבתים שיתופיים עם מספר דיירים מ-9 עד 24</t>
  </si>
  <si>
    <t>בית שיתופי: אופציה למטבחון וסלון קטן (מעל 8 דיירים)</t>
  </si>
  <si>
    <r>
      <t xml:space="preserve">מיועד לבתים שיתופיים עם מספר דיירים מ-9 עד 24. </t>
    </r>
    <r>
      <rPr>
        <b/>
        <sz val="11"/>
        <color theme="1"/>
        <rFont val="Times New Roman"/>
        <family val="1"/>
        <scheme val="major"/>
      </rPr>
      <t>למלא רק באישור מנהל/ת התכנית</t>
    </r>
  </si>
  <si>
    <t>ציוד מיוחד</t>
  </si>
  <si>
    <r>
      <t xml:space="preserve">ציוד מיועד לאוכלוסיות מיוחדות.                           </t>
    </r>
    <r>
      <rPr>
        <b/>
        <sz val="11"/>
        <color theme="1"/>
        <rFont val="Times New Roman"/>
        <family val="1"/>
        <scheme val="major"/>
      </rPr>
      <t>למלא רק באישור מנהל/ת התכנית</t>
    </r>
  </si>
  <si>
    <t>ציוד מתקנים אחרים</t>
  </si>
  <si>
    <r>
      <t xml:space="preserve">ציוד שאינו קיים בתקן זה אבל קיים בתקנים אחרים.     </t>
    </r>
    <r>
      <rPr>
        <b/>
        <sz val="11"/>
        <color theme="1"/>
        <rFont val="Times New Roman"/>
        <family val="1"/>
        <scheme val="major"/>
      </rPr>
      <t>למלא רק באישור מנהל/ת התכנית</t>
    </r>
  </si>
  <si>
    <t>ציוד נוסף שלא קיים בתקן</t>
  </si>
  <si>
    <r>
      <t xml:space="preserve">ציוד שאינו קיים בתקן ואינו קיים בתקנים אחרים.      </t>
    </r>
    <r>
      <rPr>
        <b/>
        <sz val="11"/>
        <color theme="1"/>
        <rFont val="Times New Roman"/>
        <family val="1"/>
        <scheme val="major"/>
      </rPr>
      <t>למלא רק באישור מנהל/ת התכנית</t>
    </r>
  </si>
  <si>
    <t>טבלאות סיכום</t>
  </si>
  <si>
    <t>סיכום לוועדה</t>
  </si>
  <si>
    <t>לשימוש המוסד לביטוח לאומי בלבד</t>
  </si>
  <si>
    <t>הערות והסברים למילוי הבקשה:</t>
  </si>
  <si>
    <t>נא למלא את השאלון לעיל לפני מעבר לכתב הכמויות</t>
  </si>
  <si>
    <r>
      <t xml:space="preserve">הגוף המבקש מתבקש למלא פרטים </t>
    </r>
    <r>
      <rPr>
        <u/>
        <sz val="11"/>
        <rFont val="Times New Roman"/>
        <family val="1"/>
      </rPr>
      <t xml:space="preserve">רק </t>
    </r>
    <r>
      <rPr>
        <sz val="11"/>
        <rFont val="Times New Roman"/>
        <family val="1"/>
      </rPr>
      <t>בתאים המסומנים בצבע ורוד . אין לגעת בתאים אחרים.</t>
    </r>
  </si>
  <si>
    <t xml:space="preserve">כל מחירי התקן כוללים מע"מ </t>
  </si>
  <si>
    <t>המחירים כוללים הובלה והתקנה של הציוד</t>
  </si>
  <si>
    <t>שאלון למילוי ע"י  מגיש הבקשה</t>
  </si>
  <si>
    <t>פרטי הגוף המבקש</t>
  </si>
  <si>
    <t>תאריך הגשת הבקשה</t>
  </si>
  <si>
    <t>שם הגוף המבקש</t>
  </si>
  <si>
    <t>ח.פ./ מס/ עמותה של הגוף המבקש</t>
  </si>
  <si>
    <t>כתובת הגוף המבקש</t>
  </si>
  <si>
    <t>איש קשר בגוף המבקש</t>
  </si>
  <si>
    <t>טלפון איש קשר בגוף המבקש</t>
  </si>
  <si>
    <t>מייל איש קשר בגוף המבקש</t>
  </si>
  <si>
    <t>פרטי המסגרת</t>
  </si>
  <si>
    <t>שם המסגרת</t>
  </si>
  <si>
    <t>כתובת המסגרת</t>
  </si>
  <si>
    <t>איש קשר במסגרת</t>
  </si>
  <si>
    <t>טלפון איש קשר במסגרת</t>
  </si>
  <si>
    <t>מייל איש קשר במסגרת</t>
  </si>
  <si>
    <t>מאפייני המסגרת</t>
  </si>
  <si>
    <t>פרויקט ארצי</t>
  </si>
  <si>
    <t>דירוג סוציואקונומי של הישוב (אם פרויקט ארצי מתמלא אוטומטית)</t>
  </si>
  <si>
    <t>קו עימות</t>
  </si>
  <si>
    <t>האם הגוף המבקש הינו גוף פרטי?</t>
  </si>
  <si>
    <t>מס' דירות עד 8 דיירים</t>
  </si>
  <si>
    <t>מס' דיירים בדירות עד 8 דיירים</t>
  </si>
  <si>
    <t>מס' דירות מעל 8 דיירים</t>
  </si>
  <si>
    <t>מס' דיירים בדירות מעל 8 דיירים</t>
  </si>
  <si>
    <t xml:space="preserve">מס' חדרי שינה (בכל הדירות) </t>
  </si>
  <si>
    <t>סה"כ דיירים (סכימה אוטומטית)</t>
  </si>
  <si>
    <t>במידה וישנם אנשים עם המוגבלויות הבאות יש למלא את שלושת הסעיפים הבאים</t>
  </si>
  <si>
    <t>אנשים עם לקויות מוטוריות</t>
  </si>
  <si>
    <t>אנשים עם לקויות חושיות</t>
  </si>
  <si>
    <t>אנשים בתפקוד נמוך  ו/או התנהגות מאתגרת</t>
  </si>
  <si>
    <t>האם קיימת חצר/ מרפסת?</t>
  </si>
  <si>
    <t>אם כן, שטח החצר</t>
  </si>
  <si>
    <t>מס' חדרי שינה</t>
  </si>
  <si>
    <t xml:space="preserve">סה"כ דיירים </t>
  </si>
  <si>
    <t>תקן</t>
  </si>
  <si>
    <t>בקשת  הגוף / אישור מנהלת התוכנית</t>
  </si>
  <si>
    <t>מס'</t>
  </si>
  <si>
    <t>קבוצת הציוד</t>
  </si>
  <si>
    <t>סוג הריהוט / ציוד</t>
  </si>
  <si>
    <t>תיאור/ הערות</t>
  </si>
  <si>
    <t>תקציב ליחיד לחדר שינה</t>
  </si>
  <si>
    <t>כמות התקן</t>
  </si>
  <si>
    <t>תקציב מומלץ לפי מס' דיירים</t>
  </si>
  <si>
    <t>כמות מבוקשת</t>
  </si>
  <si>
    <t>תקציב מבוקש</t>
  </si>
  <si>
    <t>סטייה מהתקן</t>
  </si>
  <si>
    <t>הערות הגוף</t>
  </si>
  <si>
    <t>אישור חריגה</t>
  </si>
  <si>
    <t>הערות מנהלת התוכנית</t>
  </si>
  <si>
    <t>ריהוט</t>
  </si>
  <si>
    <t>ארון</t>
  </si>
  <si>
    <t>2-3 דלתות</t>
  </si>
  <si>
    <t>שולחן + 2 כיסאות</t>
  </si>
  <si>
    <t>מיטה  + ארגז מצעים</t>
  </si>
  <si>
    <t>מיטה ברוחב  90-120 ס"מ</t>
  </si>
  <si>
    <t>ארונית ליד המיטה</t>
  </si>
  <si>
    <t xml:space="preserve">מוצרי חשמל </t>
  </si>
  <si>
    <t>מזגן אינוונטר 1.25 כ"ס</t>
  </si>
  <si>
    <t>מנורת קריאה</t>
  </si>
  <si>
    <t>מכשירים אלקטרוניים</t>
  </si>
  <si>
    <t>מחשב קומפלט כולל מערכת הפעלה ואביזרים</t>
  </si>
  <si>
    <t xml:space="preserve">טלוויזיה כולל מגן ואביזרי תלייה/ העמדה  </t>
  </si>
  <si>
    <t>גודל לפי מאפייני המקום</t>
  </si>
  <si>
    <t>סוג הציוד לפי צרכי המקום</t>
  </si>
  <si>
    <t>כלי בית ואביזרים</t>
  </si>
  <si>
    <t>וילון חסין אש</t>
  </si>
  <si>
    <t>כלי מיטה ומגבות</t>
  </si>
  <si>
    <t>4 סטים למיטה + 4 מגבות + מגן מזרן + כרית + 2 שמיכות</t>
  </si>
  <si>
    <t>חפצי נוי לחדר שינה</t>
  </si>
  <si>
    <t xml:space="preserve"> סה"כ ריהוט וציוד לחדרי שינה כולל מע"מ</t>
  </si>
  <si>
    <t>סיווג הדירה</t>
  </si>
  <si>
    <t>מחיר ליחידה</t>
  </si>
  <si>
    <t xml:space="preserve">כמות תקן </t>
  </si>
  <si>
    <t>תקציב מומלץ לפי תקן</t>
  </si>
  <si>
    <t>מטבח</t>
  </si>
  <si>
    <t>2.1.1</t>
  </si>
  <si>
    <t>2.1.2</t>
  </si>
  <si>
    <t>מוצרי חשמל</t>
  </si>
  <si>
    <t xml:space="preserve">מקרר </t>
  </si>
  <si>
    <t>2.1.3</t>
  </si>
  <si>
    <t>2.1.4</t>
  </si>
  <si>
    <t>מדיח כלים</t>
  </si>
  <si>
    <t>2.1.5</t>
  </si>
  <si>
    <t>תנור בישול ואפייה</t>
  </si>
  <si>
    <t>2.1.6</t>
  </si>
  <si>
    <t>2.1.7</t>
  </si>
  <si>
    <t>2.1.8</t>
  </si>
  <si>
    <t>2.1.9</t>
  </si>
  <si>
    <t>2.1.10</t>
  </si>
  <si>
    <t>2.1.11</t>
  </si>
  <si>
    <t>2.1.12</t>
  </si>
  <si>
    <t>2.1.13</t>
  </si>
  <si>
    <t>2.1.14</t>
  </si>
  <si>
    <t>כלי בישול  אחסון הגשה וניקוי</t>
  </si>
  <si>
    <t>2.1.15</t>
  </si>
  <si>
    <t>סה"כ מטבח כולל מע"מ</t>
  </si>
  <si>
    <t xml:space="preserve">סלון </t>
  </si>
  <si>
    <t>2.2.1</t>
  </si>
  <si>
    <t>2.2.2</t>
  </si>
  <si>
    <t>שולחן סלון</t>
  </si>
  <si>
    <t>2.2.3</t>
  </si>
  <si>
    <t>2.2.4</t>
  </si>
  <si>
    <t>מזגן אינוורטר</t>
  </si>
  <si>
    <t>2.2.5</t>
  </si>
  <si>
    <t xml:space="preserve">טלוויזיה כולל מגן ואביזרי תלייה/ העמדה   </t>
  </si>
  <si>
    <t>2.2.6</t>
  </si>
  <si>
    <t xml:space="preserve">מערכת מצלמות </t>
  </si>
  <si>
    <t>2.2.7</t>
  </si>
  <si>
    <t>2.2.8</t>
  </si>
  <si>
    <t>2.2.9</t>
  </si>
  <si>
    <t>2.2.10</t>
  </si>
  <si>
    <t>2.2.11</t>
  </si>
  <si>
    <t>2.2.12</t>
  </si>
  <si>
    <t>מדפסת</t>
  </si>
  <si>
    <t>2.2.13</t>
  </si>
  <si>
    <t xml:space="preserve">כלי בית </t>
  </si>
  <si>
    <t>2.2.14</t>
  </si>
  <si>
    <t>ואביזרים</t>
  </si>
  <si>
    <t>אביזרי נוי לסלון</t>
  </si>
  <si>
    <t>2.2.15</t>
  </si>
  <si>
    <t>סה"כ סלון כולל מע"מ</t>
  </si>
  <si>
    <t xml:space="preserve">ציוד כללי </t>
  </si>
  <si>
    <t>2.3.1</t>
  </si>
  <si>
    <t>ציוד חשמל</t>
  </si>
  <si>
    <t>2.3.2</t>
  </si>
  <si>
    <t>2.3.3</t>
  </si>
  <si>
    <t>2.3.4</t>
  </si>
  <si>
    <t>2.3.5</t>
  </si>
  <si>
    <t>2.3.6</t>
  </si>
  <si>
    <t>2.3.7</t>
  </si>
  <si>
    <t xml:space="preserve">מתקנים לשירותים ואמבטיה </t>
  </si>
  <si>
    <t>2.3.8</t>
  </si>
  <si>
    <t>2.3.9</t>
  </si>
  <si>
    <t>2.3.10</t>
  </si>
  <si>
    <t>2.3.11</t>
  </si>
  <si>
    <t>מטף 6 ק"ג</t>
  </si>
  <si>
    <t>2.3.12</t>
  </si>
  <si>
    <t>2.3.13</t>
  </si>
  <si>
    <t>שירות מקצועי</t>
  </si>
  <si>
    <t>2.3.14</t>
  </si>
  <si>
    <t>סה"כ ציוד כללי כולל מע"מ</t>
  </si>
  <si>
    <t>ציוד חצר/ מרפסת</t>
  </si>
  <si>
    <t>2.4.1</t>
  </si>
  <si>
    <t>2.4.2</t>
  </si>
  <si>
    <t>2.4.3</t>
  </si>
  <si>
    <t>סה"כ חצר/ מרפסת כולל מע"מ</t>
  </si>
  <si>
    <t>סה"כ חללים משותפים בדירה קהילתית כולל מע"מ</t>
  </si>
  <si>
    <t>מטבח מרכזי</t>
  </si>
  <si>
    <t>3.1.1</t>
  </si>
  <si>
    <t>3.1.2</t>
  </si>
  <si>
    <t xml:space="preserve">מקפיא </t>
  </si>
  <si>
    <t>3.1.3</t>
  </si>
  <si>
    <t>3.1.4</t>
  </si>
  <si>
    <t>מדיח כלים תעשייתי</t>
  </si>
  <si>
    <t>3.1.5</t>
  </si>
  <si>
    <t>תנור בישול ואפייה  כיריים גז</t>
  </si>
  <si>
    <t>3.1.6</t>
  </si>
  <si>
    <t>3.1.7</t>
  </si>
  <si>
    <t>3.1.8</t>
  </si>
  <si>
    <t>3.1.9</t>
  </si>
  <si>
    <t>3.1.10</t>
  </si>
  <si>
    <t>גריל חשמלי</t>
  </si>
  <si>
    <t>3.1.11</t>
  </si>
  <si>
    <t>3.1.12</t>
  </si>
  <si>
    <t>3.1.13</t>
  </si>
  <si>
    <t>3.1.14</t>
  </si>
  <si>
    <t>3.1.15</t>
  </si>
  <si>
    <t>סה"כ מטבח מרכזי כולל מע"מ</t>
  </si>
  <si>
    <t>סלון מרכזי</t>
  </si>
  <si>
    <t>3.2.1</t>
  </si>
  <si>
    <t>3.2.2</t>
  </si>
  <si>
    <t>3.2.3</t>
  </si>
  <si>
    <t>3.2.4</t>
  </si>
  <si>
    <t>3.2.5</t>
  </si>
  <si>
    <t>3.2.6</t>
  </si>
  <si>
    <t xml:space="preserve">מזגן אינוורטר </t>
  </si>
  <si>
    <t>3.2.7</t>
  </si>
  <si>
    <t xml:space="preserve">טלוויזיה כולל מגן ואביזרי תלייה/ העמדה </t>
  </si>
  <si>
    <t>3.2.8</t>
  </si>
  <si>
    <t>3.2.9</t>
  </si>
  <si>
    <t>3.2.10</t>
  </si>
  <si>
    <t>3.2.11</t>
  </si>
  <si>
    <t>3.2.12</t>
  </si>
  <si>
    <t>3.2.13</t>
  </si>
  <si>
    <t>3.2.14</t>
  </si>
  <si>
    <t>3.2.15</t>
  </si>
  <si>
    <t>3.2.16</t>
  </si>
  <si>
    <t xml:space="preserve">אביזרי נוי לסלון </t>
  </si>
  <si>
    <t>3.2.17</t>
  </si>
  <si>
    <t>סה"כ סלון מרכזי כולל מע"מ</t>
  </si>
  <si>
    <t xml:space="preserve">ציוד עזרה ראשונה </t>
  </si>
  <si>
    <t>3.3.1</t>
  </si>
  <si>
    <t>ארון עזרה ראשונה</t>
  </si>
  <si>
    <t>3.3.2</t>
  </si>
  <si>
    <t>3.3.3</t>
  </si>
  <si>
    <t xml:space="preserve">מקרר קטן לתרופות </t>
  </si>
  <si>
    <t>3.3.4</t>
  </si>
  <si>
    <t>סה"כ ציוד עזרה ראשונה  כולל מע"מ</t>
  </si>
  <si>
    <t>ציוד כללי</t>
  </si>
  <si>
    <t>3.4.1</t>
  </si>
  <si>
    <t xml:space="preserve">מכונת כביסה </t>
  </si>
  <si>
    <t>3.4.2</t>
  </si>
  <si>
    <t xml:space="preserve">מייבש כביסה </t>
  </si>
  <si>
    <t>3.4.3</t>
  </si>
  <si>
    <t>3.4.4</t>
  </si>
  <si>
    <t>3.4.5</t>
  </si>
  <si>
    <t>3.4.6</t>
  </si>
  <si>
    <t>3.4.7</t>
  </si>
  <si>
    <t>מתקנים ושירותים לאמבטיה</t>
  </si>
  <si>
    <t>3.4.8</t>
  </si>
  <si>
    <t>3.4.9</t>
  </si>
  <si>
    <t>3.4.10</t>
  </si>
  <si>
    <t>3.4.11</t>
  </si>
  <si>
    <t>3.4.12</t>
  </si>
  <si>
    <t>3.4.13</t>
  </si>
  <si>
    <t>3.5.3</t>
  </si>
  <si>
    <t>3.5.4</t>
  </si>
  <si>
    <t>3.5.6</t>
  </si>
  <si>
    <t>סה"כ ציוד חצר כולל מע"מ</t>
  </si>
  <si>
    <t>סה"כ חללים משותפים בבתים שיתופיים/הוסטלים</t>
  </si>
  <si>
    <t>למלא רק באישור מנהל/ת התכנית</t>
  </si>
  <si>
    <t>מטבחון</t>
  </si>
  <si>
    <t>4.1.1</t>
  </si>
  <si>
    <t>מאפיינים בהתאם לצרכים</t>
  </si>
  <si>
    <t>4.1.2</t>
  </si>
  <si>
    <t>4.1.3</t>
  </si>
  <si>
    <t>4.1.4</t>
  </si>
  <si>
    <t>4.1.5</t>
  </si>
  <si>
    <t>כלי אוכל, אחסון וניקוי</t>
  </si>
  <si>
    <t>4.1.6</t>
  </si>
  <si>
    <t>סה"כ ציוד מטבחון כולל מע"מ</t>
  </si>
  <si>
    <t xml:space="preserve">סלון קטן </t>
  </si>
  <si>
    <t>4.2.1</t>
  </si>
  <si>
    <t>4.2.2</t>
  </si>
  <si>
    <t>4.2.3</t>
  </si>
  <si>
    <t>מזגן 2.5 כ"ס</t>
  </si>
  <si>
    <t>4.2.4</t>
  </si>
  <si>
    <t>טלוויזיה קומפלט  כולל אביזרי תליה/ העמדה</t>
  </si>
  <si>
    <t>4.2.5</t>
  </si>
  <si>
    <t>מצלמת אבטחה</t>
  </si>
  <si>
    <t>מצלמה נוספת כולל התקנה</t>
  </si>
  <si>
    <t>4.2.6</t>
  </si>
  <si>
    <t xml:space="preserve">גלאי עשן </t>
  </si>
  <si>
    <t>4.2.7</t>
  </si>
  <si>
    <t>4.2.8</t>
  </si>
  <si>
    <t>נייח או נייד לפי מאפייני המקום</t>
  </si>
  <si>
    <t>4.2.9</t>
  </si>
  <si>
    <t>4.2.10</t>
  </si>
  <si>
    <t>4.2.11</t>
  </si>
  <si>
    <t>סה"כ סלון קטן כולל מע"מ</t>
  </si>
  <si>
    <t>סה"כ ציוד מטבחון וסלון קטן כולל מע"מ</t>
  </si>
  <si>
    <t>ציוד מיוחד: ציוד לאנשים עם תפקוד נמוך, ציוד עמיד מהרגיל</t>
  </si>
  <si>
    <t xml:space="preserve">ציוד לאנשים עם </t>
  </si>
  <si>
    <t>מיטה חשמלית</t>
  </si>
  <si>
    <t xml:space="preserve">ליקוים מוטוריים </t>
  </si>
  <si>
    <t>שולחן מתכוונן</t>
  </si>
  <si>
    <t>שולחן מתכוונן למחשב</t>
  </si>
  <si>
    <t xml:space="preserve">כסא שירותים מתכוונן </t>
  </si>
  <si>
    <t>מנוף תקרה</t>
  </si>
  <si>
    <t xml:space="preserve">מנוף עם סלולה </t>
  </si>
  <si>
    <t>מנוף נייד</t>
  </si>
  <si>
    <t>מקלדת ארגונומית</t>
  </si>
  <si>
    <t>עכבר ארגונומי</t>
  </si>
  <si>
    <t xml:space="preserve">ציוד לאנשים עם לקויות שמיעה </t>
  </si>
  <si>
    <t xml:space="preserve">מערכת הגברה סביבתית ומערכת עזר לשמיעה </t>
  </si>
  <si>
    <t>מערכת טמ"ס להגדלת טקסט</t>
  </si>
  <si>
    <t xml:space="preserve">לקויות ראיה </t>
  </si>
  <si>
    <t xml:space="preserve">תוכנה קולית למחשב </t>
  </si>
  <si>
    <t xml:space="preserve">תוכנת הגדלה למחשב </t>
  </si>
  <si>
    <t xml:space="preserve">צג ברייל </t>
  </si>
  <si>
    <t>ריהוט עמיד מהרגיל</t>
  </si>
  <si>
    <t>תוספת 30% למחיר רגיל</t>
  </si>
  <si>
    <t>ציפוי קירות חדר שינה</t>
  </si>
  <si>
    <t>סה"כ ציוד מ יוחד  כולל מע"מ</t>
  </si>
  <si>
    <t xml:space="preserve">ציוד מתקנים אחרים </t>
  </si>
  <si>
    <t>שם התקן</t>
  </si>
  <si>
    <t>סיווג וסעיף התקן</t>
  </si>
  <si>
    <t>תיאור הציוד</t>
  </si>
  <si>
    <t>מחיר בתקן</t>
  </si>
  <si>
    <t>סכום מבוקש</t>
  </si>
  <si>
    <t>המלצת מנהלת התוכנית</t>
  </si>
  <si>
    <t>כמות מאושרת</t>
  </si>
  <si>
    <t>תקציב מאושר</t>
  </si>
  <si>
    <t>סה"כ ציוד מתקנים אחרים כולל מע"מ</t>
  </si>
  <si>
    <t>יש לרשום ציוד שאינו מופיע בתקן ולצרף 2 הצעות מחיר לציוד בעלות עד 20,000 ₪ ו-3 הצעות מחיר לסכום גבוה יותר</t>
  </si>
  <si>
    <t>תחום פעילות/ קבוצת ההוצאות</t>
  </si>
  <si>
    <t>פירוט הציוד/הפריט</t>
  </si>
  <si>
    <t>תיאור הצורך בפריט/בציוד</t>
  </si>
  <si>
    <t>הצעת מחיר א' כולל מע"מ</t>
  </si>
  <si>
    <t>הצעת מחיר ב' כולל מע"מ</t>
  </si>
  <si>
    <t>הצעת מחיר ג' כולל מע"מ</t>
  </si>
  <si>
    <t>סה"כ מחיר לפי ההצעה הזולה כולל מע"מ</t>
  </si>
  <si>
    <t>המלצת המנהלת (כמות)</t>
  </si>
  <si>
    <t>אישור מחיר חריג</t>
  </si>
  <si>
    <t>מחיר מאושר</t>
  </si>
  <si>
    <t>סה"כ ציוד נוסף שלא קיים בתקן כולל מע"מ</t>
  </si>
  <si>
    <t>סיכום בקשה להצטיידות</t>
  </si>
  <si>
    <t>דירוג סוציואקונומי של הישוב</t>
  </si>
  <si>
    <t>סכום מקסימלי לפי קול קורא (למילוי מנהלת התוכנית)</t>
  </si>
  <si>
    <t>מספר דירות</t>
  </si>
  <si>
    <t>מספר חדרי שינה</t>
  </si>
  <si>
    <t>מספר הדיירים</t>
  </si>
  <si>
    <t>סה"כ עלות הבקשה</t>
  </si>
  <si>
    <t>קטגוריה</t>
  </si>
  <si>
    <t>סך עלות מאושרת כולל מע"מ</t>
  </si>
  <si>
    <t>סה"כ בקשה</t>
  </si>
  <si>
    <t>אחוז מימון מקסימלי לפי דירוג סוציואקונומי, קו עימות  ומיגבלת גוף פרטי - הנמוך מביניהם (ללא התחשבות בתקציב הסיוע המקסימלי בקול קורא)</t>
  </si>
  <si>
    <t>גורם מממן</t>
  </si>
  <si>
    <t>אחוז מימון</t>
  </si>
  <si>
    <t xml:space="preserve">סכום מימון </t>
  </si>
  <si>
    <t>אחוז מימון מקסימלי-ביטוח לאומי</t>
  </si>
  <si>
    <t>מימון עצמי</t>
  </si>
  <si>
    <t>סה"כ</t>
  </si>
  <si>
    <t>סכום מימון מקסימלי בהתאם לקול קורא</t>
  </si>
  <si>
    <t>מימון ביטוח לאומי מקסימלי לפי קול קורא</t>
  </si>
  <si>
    <t>לאישור הוועדה</t>
  </si>
  <si>
    <t>מימון מאושר - הנמוך מביניהם - על פי דרוג סוציואקונומי או תקציב סיוע מקסימלי בקול קורא או תקציב לגוף פרטי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</si>
</sst>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 &quot;₪&quot;\ * #,##0.00_ ;_ &quot;₪&quot;\ * \-#,##0.00_ ;_ &quot;₪&quot;\ * &quot;-&quot;??_ ;_ @_ "/>
    <numFmt numFmtId="43" formatCode="_ * #,##0.00_ ;_ * \-#,##0.00_ ;_ * &quot;-&quot;??_ ;_ @_ "/>
    <numFmt numFmtId="164" formatCode="&quot;₪&quot;\ #,##0"/>
    <numFmt numFmtId="165" formatCode="_ * #,##0_ ;_ * \-#,##0_ ;_ * &quot;-&quot;??_ ;_ @_ "/>
    <numFmt numFmtId="166" formatCode="#,##0_ ;[Red]\-#,##0\ "/>
    <numFmt numFmtId="167" formatCode="0.0"/>
    <numFmt numFmtId="168" formatCode="mmmm\-yyyy"/>
  </numFmts>
  <fonts count="55" x14ac:knownFonts="1">
    <font>
      <sz val="11"/>
      <color theme="1"/>
      <name val="Arial"/>
      <family val="2"/>
      <charset val="177"/>
      <scheme val="minor"/>
    </font>
    <font>
      <b/>
      <sz val="11"/>
      <color theme="1"/>
      <name val="Arial"/>
      <family val="2"/>
      <scheme val="minor"/>
    </font>
    <font>
      <sz val="10"/>
      <color theme="1"/>
      <name val="David"/>
      <family val="2"/>
      <charset val="177"/>
    </font>
    <font>
      <b/>
      <sz val="10"/>
      <color theme="1"/>
      <name val="David"/>
      <family val="2"/>
      <charset val="177"/>
    </font>
    <font>
      <b/>
      <sz val="10"/>
      <color theme="1"/>
      <name val="Arial"/>
      <family val="2"/>
      <scheme val="minor"/>
    </font>
    <font>
      <b/>
      <sz val="10"/>
      <color rgb="FF000000"/>
      <name val="David"/>
      <family val="2"/>
      <charset val="177"/>
    </font>
    <font>
      <sz val="8"/>
      <color theme="1"/>
      <name val="David"/>
      <family val="2"/>
      <charset val="177"/>
    </font>
    <font>
      <u/>
      <sz val="11"/>
      <color theme="10"/>
      <name val="Arial"/>
      <family val="2"/>
      <charset val="177"/>
    </font>
    <font>
      <b/>
      <sz val="18"/>
      <color theme="1"/>
      <name val="Arial"/>
      <family val="2"/>
      <scheme val="minor"/>
    </font>
    <font>
      <b/>
      <sz val="12"/>
      <color theme="1"/>
      <name val="Arial"/>
      <family val="2"/>
      <scheme val="minor"/>
    </font>
    <font>
      <b/>
      <u/>
      <sz val="16"/>
      <color theme="1"/>
      <name val="Arial"/>
      <family val="2"/>
      <scheme val="minor"/>
    </font>
    <font>
      <sz val="11"/>
      <color theme="1"/>
      <name val="Arial"/>
      <family val="2"/>
      <charset val="177"/>
      <scheme val="minor"/>
    </font>
    <font>
      <b/>
      <sz val="10"/>
      <color theme="1"/>
      <name val="David"/>
      <family val="2"/>
    </font>
    <font>
      <b/>
      <sz val="11"/>
      <color theme="1"/>
      <name val="Arial"/>
      <family val="2"/>
      <charset val="177"/>
      <scheme val="minor"/>
    </font>
    <font>
      <sz val="12"/>
      <color theme="1"/>
      <name val="Arial"/>
      <family val="2"/>
      <scheme val="minor"/>
    </font>
    <font>
      <sz val="11"/>
      <color theme="1"/>
      <name val="Arial"/>
      <family val="2"/>
      <scheme val="minor"/>
    </font>
    <font>
      <sz val="12"/>
      <name val="Times New Roman"/>
      <family val="1"/>
      <scheme val="major"/>
    </font>
    <font>
      <sz val="12"/>
      <color theme="1"/>
      <name val="Times New Roman"/>
      <family val="1"/>
      <scheme val="major"/>
    </font>
    <font>
      <b/>
      <sz val="12"/>
      <color rgb="FF800000"/>
      <name val="Times New Roman"/>
      <family val="1"/>
      <scheme val="major"/>
    </font>
    <font>
      <b/>
      <sz val="12"/>
      <color rgb="FF800000"/>
      <name val="Times New Roman"/>
      <family val="1"/>
    </font>
    <font>
      <b/>
      <sz val="12"/>
      <name val="Times New Roman"/>
      <family val="1"/>
    </font>
    <font>
      <sz val="12"/>
      <name val="Times New Roman"/>
      <family val="1"/>
    </font>
    <font>
      <b/>
      <u/>
      <sz val="18"/>
      <color rgb="FF800000"/>
      <name val="Times New Roman"/>
      <family val="1"/>
    </font>
    <font>
      <sz val="12"/>
      <color rgb="FF800000"/>
      <name val="Times New Roman"/>
      <family val="1"/>
    </font>
    <font>
      <b/>
      <sz val="16"/>
      <color rgb="FF800000"/>
      <name val="Times New Roman"/>
      <family val="1"/>
    </font>
    <font>
      <sz val="11"/>
      <color theme="1"/>
      <name val="Times New Roman"/>
      <family val="1"/>
    </font>
    <font>
      <b/>
      <sz val="11"/>
      <name val="Times New Roman"/>
      <family val="1"/>
    </font>
    <font>
      <sz val="11"/>
      <name val="Times New Roman"/>
      <family val="1"/>
    </font>
    <font>
      <u/>
      <sz val="11"/>
      <color theme="10"/>
      <name val="Arial"/>
      <family val="2"/>
      <charset val="177"/>
      <scheme val="minor"/>
    </font>
    <font>
      <u/>
      <sz val="11"/>
      <name val="Times New Roman"/>
      <family val="1"/>
    </font>
    <font>
      <sz val="11"/>
      <color rgb="FFFF0000"/>
      <name val="Times New Roman"/>
      <family val="1"/>
    </font>
    <font>
      <b/>
      <sz val="11"/>
      <name val="Times New Roman"/>
      <family val="1"/>
      <scheme val="major"/>
    </font>
    <font>
      <sz val="11"/>
      <color theme="1"/>
      <name val="Times New Roman"/>
      <family val="1"/>
      <scheme val="major"/>
    </font>
    <font>
      <b/>
      <sz val="11"/>
      <color rgb="FFC00000"/>
      <name val="Times New Roman"/>
      <family val="1"/>
      <scheme val="major"/>
    </font>
    <font>
      <b/>
      <sz val="11"/>
      <color rgb="FFFF0000"/>
      <name val="Times New Roman"/>
      <family val="1"/>
      <scheme val="major"/>
    </font>
    <font>
      <b/>
      <sz val="11"/>
      <color theme="1"/>
      <name val="Times New Roman"/>
      <family val="1"/>
    </font>
    <font>
      <b/>
      <sz val="11"/>
      <color theme="1"/>
      <name val="Times New Roman"/>
      <family val="1"/>
      <charset val="177"/>
    </font>
    <font>
      <b/>
      <sz val="11"/>
      <color theme="1"/>
      <name val="Times New Roman"/>
      <family val="1"/>
      <charset val="177"/>
      <scheme val="major"/>
    </font>
    <font>
      <b/>
      <sz val="11"/>
      <color theme="1"/>
      <name val="Times New Roman"/>
      <family val="1"/>
      <scheme val="major"/>
    </font>
    <font>
      <sz val="10"/>
      <name val="Arial"/>
      <family val="2"/>
    </font>
    <font>
      <sz val="10"/>
      <color theme="1"/>
      <name val="David"/>
      <family val="2"/>
    </font>
    <font>
      <b/>
      <sz val="10"/>
      <color theme="1"/>
      <name val="Times New Roman"/>
      <family val="1"/>
      <scheme val="major"/>
    </font>
    <font>
      <b/>
      <sz val="10"/>
      <color theme="1"/>
      <name val="Times New Roman"/>
      <family val="1"/>
    </font>
    <font>
      <b/>
      <sz val="11"/>
      <color rgb="FFC00000"/>
      <name val="Times New Roman"/>
      <family val="1"/>
    </font>
    <font>
      <b/>
      <sz val="14"/>
      <color theme="1"/>
      <name val="Times New Roman"/>
      <family val="1"/>
      <scheme val="major"/>
    </font>
    <font>
      <b/>
      <i/>
      <sz val="11"/>
      <color theme="1"/>
      <name val="Times New Roman"/>
      <family val="1"/>
    </font>
    <font>
      <sz val="11"/>
      <name val="Times New Roman"/>
      <family val="1"/>
      <scheme val="major"/>
    </font>
    <font>
      <b/>
      <sz val="14"/>
      <name val="Times New Roman"/>
      <family val="1"/>
    </font>
    <font>
      <sz val="11"/>
      <color rgb="FFC00000"/>
      <name val="Times New Roman"/>
      <family val="1"/>
    </font>
    <font>
      <b/>
      <sz val="16"/>
      <color theme="1"/>
      <name val="Times New Roman"/>
      <family val="1"/>
      <scheme val="major"/>
    </font>
    <font>
      <i/>
      <sz val="11"/>
      <name val="Times New Roman"/>
      <family val="1"/>
    </font>
    <font>
      <b/>
      <sz val="12"/>
      <color rgb="FFC00000"/>
      <name val="Times New Roman"/>
      <family val="1"/>
      <scheme val="major"/>
    </font>
    <font>
      <sz val="11"/>
      <color theme="0"/>
      <name val="Times New Roman"/>
      <family val="1"/>
    </font>
    <font>
      <sz val="11"/>
      <color theme="0"/>
      <name val="Times New Roman"/>
      <family val="1"/>
      <scheme val="major"/>
    </font>
    <font>
      <b/>
      <u/>
      <sz val="11"/>
      <color theme="1"/>
      <name val="Times New Roman"/>
      <family val="1"/>
      <scheme val="major"/>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7">
    <xf numFmtId="0" fontId="0" fillId="0" borderId="0"/>
    <xf numFmtId="0" fontId="7" fillId="0" borderId="0" applyNumberFormat="0" applyFill="0" applyBorder="0" applyAlignment="0" applyProtection="0">
      <alignment vertical="top"/>
      <protection locked="0"/>
    </xf>
    <xf numFmtId="43" fontId="11" fillId="0" borderId="0" applyFont="0" applyFill="0" applyBorder="0" applyAlignment="0" applyProtection="0"/>
    <xf numFmtId="9" fontId="11" fillId="0" borderId="0" applyFont="0" applyFill="0" applyBorder="0" applyAlignment="0" applyProtection="0"/>
    <xf numFmtId="0" fontId="28" fillId="0" borderId="0" applyNumberFormat="0" applyFill="0" applyBorder="0" applyAlignment="0" applyProtection="0"/>
    <xf numFmtId="44" fontId="11" fillId="0" borderId="0" applyFont="0" applyFill="0" applyBorder="0" applyAlignment="0" applyProtection="0"/>
    <xf numFmtId="0" fontId="39" fillId="0" borderId="0"/>
  </cellStyleXfs>
  <cellXfs count="373">
    <xf numFmtId="0" fontId="0" fillId="0" borderId="0" xfId="0"/>
    <xf numFmtId="0" fontId="1" fillId="0" borderId="0" xfId="0" applyFont="1"/>
    <xf numFmtId="0" fontId="2" fillId="2" borderId="1" xfId="0" applyFont="1" applyFill="1" applyBorder="1" applyAlignment="1">
      <alignment horizontal="center" vertical="center" wrapText="1" readingOrder="2"/>
    </xf>
    <xf numFmtId="0" fontId="2" fillId="2" borderId="1" xfId="0" applyFont="1" applyFill="1" applyBorder="1" applyAlignment="1">
      <alignment horizontal="center" wrapText="1" readingOrder="2"/>
    </xf>
    <xf numFmtId="164" fontId="2" fillId="2" borderId="1" xfId="0" applyNumberFormat="1" applyFont="1" applyFill="1" applyBorder="1" applyAlignment="1">
      <alignment horizontal="center" vertical="center" wrapText="1" readingOrder="1"/>
    </xf>
    <xf numFmtId="1" fontId="2" fillId="2" borderId="1" xfId="0" applyNumberFormat="1" applyFont="1" applyFill="1" applyBorder="1" applyAlignment="1">
      <alignment horizontal="center" vertical="center" wrapText="1" readingOrder="1"/>
    </xf>
    <xf numFmtId="0" fontId="3" fillId="3" borderId="1" xfId="0" applyFont="1" applyFill="1" applyBorder="1" applyAlignment="1">
      <alignment horizontal="right" wrapText="1" readingOrder="2"/>
    </xf>
    <xf numFmtId="164" fontId="3" fillId="3" borderId="1" xfId="0" applyNumberFormat="1" applyFont="1" applyFill="1" applyBorder="1" applyAlignment="1">
      <alignment horizontal="center" vertical="center" wrapText="1" readingOrder="1"/>
    </xf>
    <xf numFmtId="1" fontId="3" fillId="3" borderId="1" xfId="0" applyNumberFormat="1" applyFont="1" applyFill="1" applyBorder="1" applyAlignment="1">
      <alignment horizontal="center" vertical="center" wrapText="1" readingOrder="1"/>
    </xf>
    <xf numFmtId="0" fontId="3" fillId="2" borderId="1" xfId="0" applyFont="1" applyFill="1" applyBorder="1" applyAlignment="1">
      <alignment wrapText="1" readingOrder="2"/>
    </xf>
    <xf numFmtId="1" fontId="3" fillId="2" borderId="1" xfId="0" applyNumberFormat="1" applyFont="1" applyFill="1" applyBorder="1" applyAlignment="1">
      <alignment wrapText="1" readingOrder="2"/>
    </xf>
    <xf numFmtId="0" fontId="2" fillId="0" borderId="1" xfId="0" applyFont="1" applyBorder="1" applyAlignment="1">
      <alignment horizontal="center" vertical="center" wrapText="1" readingOrder="2"/>
    </xf>
    <xf numFmtId="164" fontId="2" fillId="0" borderId="1" xfId="0" applyNumberFormat="1" applyFont="1" applyBorder="1" applyAlignment="1">
      <alignment horizontal="center" vertical="center" wrapText="1" readingOrder="1"/>
    </xf>
    <xf numFmtId="1" fontId="2" fillId="0" borderId="1"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2"/>
    </xf>
    <xf numFmtId="0" fontId="5" fillId="3" borderId="1" xfId="0" applyFont="1" applyFill="1" applyBorder="1" applyAlignment="1">
      <alignment horizontal="center" wrapText="1" readingOrder="2"/>
    </xf>
    <xf numFmtId="164" fontId="5" fillId="3" borderId="1" xfId="0" applyNumberFormat="1" applyFont="1" applyFill="1" applyBorder="1" applyAlignment="1">
      <alignment horizontal="center" vertical="center" wrapText="1" readingOrder="1"/>
    </xf>
    <xf numFmtId="1" fontId="5" fillId="3" borderId="1" xfId="0" applyNumberFormat="1" applyFont="1" applyFill="1" applyBorder="1" applyAlignment="1">
      <alignment horizontal="center" vertical="center" wrapText="1" readingOrder="1"/>
    </xf>
    <xf numFmtId="0" fontId="3" fillId="4" borderId="1" xfId="0" applyFont="1" applyFill="1" applyBorder="1" applyAlignment="1">
      <alignment horizontal="center" vertical="center" wrapText="1" readingOrder="2"/>
    </xf>
    <xf numFmtId="0" fontId="3" fillId="4" borderId="3" xfId="0" applyFont="1" applyFill="1" applyBorder="1" applyAlignment="1">
      <alignment horizontal="center" vertical="center" wrapText="1" readingOrder="2"/>
    </xf>
    <xf numFmtId="164" fontId="2" fillId="2" borderId="3" xfId="0" applyNumberFormat="1" applyFont="1" applyFill="1" applyBorder="1" applyAlignment="1">
      <alignment horizontal="center" vertical="center" wrapText="1" readingOrder="1"/>
    </xf>
    <xf numFmtId="0" fontId="3" fillId="3" borderId="2" xfId="0" applyFont="1" applyFill="1" applyBorder="1" applyAlignment="1">
      <alignment horizontal="right" vertical="center" wrapText="1" readingOrder="2"/>
    </xf>
    <xf numFmtId="0" fontId="3" fillId="2" borderId="3" xfId="0" applyFont="1" applyFill="1" applyBorder="1" applyAlignment="1">
      <alignment wrapText="1" readingOrder="2"/>
    </xf>
    <xf numFmtId="0" fontId="5" fillId="3" borderId="2" xfId="0" applyFont="1" applyFill="1" applyBorder="1" applyAlignment="1">
      <alignment horizontal="right" vertical="center" wrapText="1" readingOrder="2"/>
    </xf>
    <xf numFmtId="0" fontId="5" fillId="5" borderId="5" xfId="0" applyFont="1" applyFill="1" applyBorder="1" applyAlignment="1">
      <alignment vertical="center" wrapText="1" readingOrder="2"/>
    </xf>
    <xf numFmtId="164" fontId="5" fillId="5" borderId="5" xfId="0" applyNumberFormat="1" applyFont="1" applyFill="1" applyBorder="1" applyAlignment="1">
      <alignment horizontal="center" vertical="center" wrapText="1" readingOrder="1"/>
    </xf>
    <xf numFmtId="1" fontId="5" fillId="5" borderId="5" xfId="0" applyNumberFormat="1" applyFont="1" applyFill="1" applyBorder="1" applyAlignment="1">
      <alignment horizontal="center" vertical="center" wrapText="1" readingOrder="1"/>
    </xf>
    <xf numFmtId="0" fontId="5" fillId="5" borderId="5" xfId="0" applyFont="1" applyFill="1" applyBorder="1" applyAlignment="1">
      <alignment horizontal="right" wrapText="1" readingOrder="2"/>
    </xf>
    <xf numFmtId="0" fontId="12" fillId="0" borderId="0" xfId="0" applyFont="1" applyAlignment="1">
      <alignment readingOrder="2"/>
    </xf>
    <xf numFmtId="164" fontId="5" fillId="5" borderId="6" xfId="0" applyNumberFormat="1" applyFont="1" applyFill="1" applyBorder="1" applyAlignment="1">
      <alignment horizontal="center" vertical="center" wrapText="1" readingOrder="1"/>
    </xf>
    <xf numFmtId="0" fontId="12" fillId="0" borderId="0" xfId="0" applyFont="1" applyAlignment="1">
      <alignment horizontal="right" readingOrder="2"/>
    </xf>
    <xf numFmtId="0" fontId="3" fillId="2" borderId="2" xfId="0" applyFont="1" applyFill="1" applyBorder="1" applyAlignment="1">
      <alignment horizontal="right" wrapText="1" readingOrder="2"/>
    </xf>
    <xf numFmtId="0" fontId="5" fillId="5" borderId="4" xfId="0" applyFont="1" applyFill="1" applyBorder="1" applyAlignment="1">
      <alignment horizontal="right" vertical="center" wrapText="1" readingOrder="2"/>
    </xf>
    <xf numFmtId="0" fontId="0" fillId="0" borderId="0" xfId="0" applyAlignment="1">
      <alignment horizontal="right"/>
    </xf>
    <xf numFmtId="38" fontId="17" fillId="0" borderId="1" xfId="2" applyNumberFormat="1" applyFont="1" applyFill="1" applyBorder="1" applyAlignment="1" applyProtection="1">
      <alignment horizontal="center"/>
    </xf>
    <xf numFmtId="38" fontId="19" fillId="7" borderId="1" xfId="0" applyNumberFormat="1" applyFont="1" applyFill="1" applyBorder="1" applyAlignment="1" applyProtection="1">
      <alignment horizontal="center"/>
      <protection locked="0"/>
    </xf>
    <xf numFmtId="38" fontId="16" fillId="0" borderId="1" xfId="2" applyNumberFormat="1" applyFont="1" applyFill="1" applyBorder="1" applyAlignment="1" applyProtection="1"/>
    <xf numFmtId="38" fontId="21" fillId="0" borderId="1" xfId="2" applyNumberFormat="1" applyFont="1" applyFill="1" applyBorder="1" applyAlignment="1" applyProtection="1"/>
    <xf numFmtId="10" fontId="21" fillId="0" borderId="1" xfId="3" applyNumberFormat="1" applyFont="1" applyFill="1" applyBorder="1" applyAlignment="1" applyProtection="1"/>
    <xf numFmtId="38" fontId="21" fillId="0" borderId="0" xfId="2" applyNumberFormat="1" applyFont="1" applyFill="1" applyBorder="1" applyAlignment="1" applyProtection="1"/>
    <xf numFmtId="38" fontId="20" fillId="0" borderId="1" xfId="2" applyNumberFormat="1" applyFont="1" applyFill="1" applyBorder="1" applyAlignment="1" applyProtection="1"/>
    <xf numFmtId="38" fontId="24" fillId="0" borderId="1" xfId="2" applyNumberFormat="1" applyFont="1" applyFill="1" applyBorder="1" applyAlignment="1" applyProtection="1"/>
    <xf numFmtId="14" fontId="25" fillId="6" borderId="1" xfId="2" applyNumberFormat="1" applyFont="1" applyFill="1" applyBorder="1" applyAlignment="1" applyProtection="1">
      <alignment vertical="center"/>
      <protection locked="0"/>
    </xf>
    <xf numFmtId="0" fontId="32" fillId="0" borderId="0" xfId="0" applyFont="1"/>
    <xf numFmtId="165" fontId="25" fillId="6" borderId="1" xfId="2" applyNumberFormat="1" applyFont="1" applyFill="1" applyBorder="1" applyAlignment="1" applyProtection="1">
      <protection locked="0"/>
    </xf>
    <xf numFmtId="166" fontId="32" fillId="0" borderId="1" xfId="2" applyNumberFormat="1" applyFont="1" applyFill="1" applyBorder="1" applyAlignment="1" applyProtection="1">
      <alignment horizontal="right"/>
    </xf>
    <xf numFmtId="0" fontId="27" fillId="7" borderId="1" xfId="0" applyFont="1" applyFill="1" applyBorder="1" applyAlignment="1" applyProtection="1">
      <alignment horizontal="right"/>
      <protection locked="0"/>
    </xf>
    <xf numFmtId="0" fontId="27" fillId="7" borderId="1" xfId="0" applyFont="1" applyFill="1" applyBorder="1" applyAlignment="1" applyProtection="1">
      <alignment horizontal="center"/>
      <protection locked="0"/>
    </xf>
    <xf numFmtId="38" fontId="32" fillId="0" borderId="1" xfId="2" applyNumberFormat="1" applyFont="1" applyFill="1" applyBorder="1" applyAlignment="1" applyProtection="1">
      <alignment horizontal="right"/>
    </xf>
    <xf numFmtId="1" fontId="25" fillId="6" borderId="1" xfId="0" applyNumberFormat="1" applyFont="1" applyFill="1" applyBorder="1" applyAlignment="1" applyProtection="1">
      <alignment wrapText="1"/>
      <protection locked="0"/>
    </xf>
    <xf numFmtId="0" fontId="4" fillId="4" borderId="29"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3" fillId="4" borderId="17" xfId="0" applyFont="1" applyFill="1" applyBorder="1" applyAlignment="1">
      <alignment horizontal="right" vertical="center" wrapText="1" readingOrder="2"/>
    </xf>
    <xf numFmtId="0" fontId="3" fillId="4" borderId="30" xfId="0" applyFont="1" applyFill="1" applyBorder="1" applyAlignment="1">
      <alignment horizontal="right" vertical="center" wrapText="1" readingOrder="2"/>
    </xf>
    <xf numFmtId="1" fontId="25" fillId="6" borderId="20" xfId="0" applyNumberFormat="1" applyFont="1" applyFill="1" applyBorder="1" applyAlignment="1" applyProtection="1">
      <alignment wrapText="1"/>
      <protection locked="0"/>
    </xf>
    <xf numFmtId="1" fontId="35" fillId="6" borderId="1" xfId="0" applyNumberFormat="1" applyFont="1" applyFill="1" applyBorder="1" applyAlignment="1" applyProtection="1">
      <alignment wrapText="1"/>
      <protection locked="0"/>
    </xf>
    <xf numFmtId="0" fontId="2" fillId="0" borderId="2" xfId="0" applyFont="1" applyBorder="1" applyAlignment="1">
      <alignment horizontal="right" vertical="center" wrapText="1" readingOrder="2"/>
    </xf>
    <xf numFmtId="1" fontId="2" fillId="2" borderId="1" xfId="0" applyNumberFormat="1" applyFont="1" applyFill="1" applyBorder="1" applyAlignment="1">
      <alignment horizontal="center" wrapText="1" readingOrder="2"/>
    </xf>
    <xf numFmtId="3" fontId="25" fillId="0" borderId="1" xfId="5" applyNumberFormat="1" applyFont="1" applyFill="1" applyBorder="1" applyAlignment="1" applyProtection="1">
      <alignment horizontal="right"/>
    </xf>
    <xf numFmtId="164" fontId="2" fillId="0" borderId="3" xfId="0" applyNumberFormat="1" applyFont="1" applyBorder="1" applyAlignment="1">
      <alignment horizontal="center" vertical="center" wrapText="1" readingOrder="1"/>
    </xf>
    <xf numFmtId="0" fontId="6" fillId="0" borderId="1" xfId="0" applyFont="1" applyBorder="1" applyAlignment="1">
      <alignment horizontal="center" vertical="center" wrapText="1" readingOrder="2"/>
    </xf>
    <xf numFmtId="0" fontId="6" fillId="0" borderId="1" xfId="0" applyFont="1" applyBorder="1" applyAlignment="1">
      <alignment horizontal="center" wrapText="1" readingOrder="2"/>
    </xf>
    <xf numFmtId="0" fontId="40" fillId="0" borderId="2" xfId="0" applyFont="1" applyBorder="1" applyAlignment="1">
      <alignment horizontal="right" vertical="center" wrapText="1" readingOrder="2"/>
    </xf>
    <xf numFmtId="14" fontId="25" fillId="6" borderId="1" xfId="2" applyNumberFormat="1" applyFont="1" applyFill="1" applyBorder="1" applyAlignment="1" applyProtection="1">
      <protection locked="0"/>
    </xf>
    <xf numFmtId="0" fontId="44" fillId="0" borderId="0" xfId="0" applyFont="1"/>
    <xf numFmtId="0" fontId="25" fillId="6" borderId="1" xfId="2" applyNumberFormat="1" applyFont="1" applyFill="1" applyBorder="1" applyAlignment="1" applyProtection="1">
      <protection locked="0"/>
    </xf>
    <xf numFmtId="0" fontId="25" fillId="6" borderId="1" xfId="2" applyNumberFormat="1" applyFont="1" applyFill="1" applyBorder="1" applyAlignment="1" applyProtection="1">
      <alignment horizontal="right"/>
      <protection locked="0"/>
    </xf>
    <xf numFmtId="165" fontId="7" fillId="6" borderId="1" xfId="1" applyNumberFormat="1" applyFill="1" applyBorder="1" applyAlignment="1" applyProtection="1">
      <alignment horizontal="right"/>
      <protection locked="0"/>
    </xf>
    <xf numFmtId="165" fontId="25" fillId="6" borderId="1" xfId="2" applyNumberFormat="1" applyFont="1" applyFill="1" applyBorder="1" applyAlignment="1" applyProtection="1"/>
    <xf numFmtId="0" fontId="1" fillId="2" borderId="0" xfId="0" applyFont="1" applyFill="1"/>
    <xf numFmtId="0" fontId="1" fillId="2" borderId="7" xfId="0" applyFont="1" applyFill="1" applyBorder="1"/>
    <xf numFmtId="0" fontId="1" fillId="2" borderId="8" xfId="0" applyFont="1" applyFill="1" applyBorder="1"/>
    <xf numFmtId="0" fontId="1" fillId="2" borderId="9" xfId="0" applyFont="1" applyFill="1" applyBorder="1"/>
    <xf numFmtId="0" fontId="1" fillId="2" borderId="10" xfId="0" applyFont="1" applyFill="1" applyBorder="1"/>
    <xf numFmtId="0" fontId="1" fillId="2" borderId="11" xfId="0" applyFont="1" applyFill="1" applyBorder="1"/>
    <xf numFmtId="0" fontId="9" fillId="2" borderId="0" xfId="0" applyFont="1" applyFill="1" applyAlignment="1">
      <alignment horizontal="right" readingOrder="2"/>
    </xf>
    <xf numFmtId="0" fontId="10" fillId="2" borderId="0" xfId="0" applyFont="1" applyFill="1" applyAlignment="1">
      <alignment horizontal="right" readingOrder="2"/>
    </xf>
    <xf numFmtId="0" fontId="14" fillId="2" borderId="10" xfId="0" applyFont="1" applyFill="1" applyBorder="1" applyAlignment="1">
      <alignment horizontal="right" vertical="center" wrapText="1" readingOrder="2"/>
    </xf>
    <xf numFmtId="0" fontId="14" fillId="2" borderId="0" xfId="0" applyFont="1" applyFill="1" applyAlignment="1">
      <alignment horizontal="right" vertical="center" wrapText="1" readingOrder="2"/>
    </xf>
    <xf numFmtId="0" fontId="14" fillId="2" borderId="11" xfId="0" applyFont="1" applyFill="1" applyBorder="1" applyAlignment="1">
      <alignment horizontal="right" vertical="center" wrapText="1" readingOrder="2"/>
    </xf>
    <xf numFmtId="0" fontId="14" fillId="2" borderId="10" xfId="0" applyFont="1" applyFill="1" applyBorder="1" applyAlignment="1">
      <alignment horizontal="right" readingOrder="2"/>
    </xf>
    <xf numFmtId="0" fontId="15" fillId="2" borderId="0" xfId="0" applyFont="1" applyFill="1"/>
    <xf numFmtId="0" fontId="15" fillId="2" borderId="11" xfId="0" applyFont="1" applyFill="1" applyBorder="1"/>
    <xf numFmtId="0" fontId="25" fillId="2" borderId="0" xfId="0" applyFont="1" applyFill="1"/>
    <xf numFmtId="0" fontId="26" fillId="0" borderId="0" xfId="0" applyFont="1"/>
    <xf numFmtId="0" fontId="25" fillId="2" borderId="22" xfId="0" applyFont="1" applyFill="1" applyBorder="1"/>
    <xf numFmtId="0" fontId="25" fillId="2" borderId="23" xfId="0" applyFont="1" applyFill="1" applyBorder="1"/>
    <xf numFmtId="0" fontId="25" fillId="2" borderId="24" xfId="0" applyFont="1" applyFill="1" applyBorder="1"/>
    <xf numFmtId="0" fontId="25" fillId="2" borderId="25" xfId="0" applyFont="1" applyFill="1" applyBorder="1"/>
    <xf numFmtId="0" fontId="27" fillId="0" borderId="0" xfId="0" applyFont="1"/>
    <xf numFmtId="0" fontId="25" fillId="2" borderId="26" xfId="0" applyFont="1" applyFill="1" applyBorder="1"/>
    <xf numFmtId="0" fontId="25" fillId="0" borderId="22" xfId="0" applyFont="1" applyBorder="1"/>
    <xf numFmtId="0" fontId="27" fillId="0" borderId="23" xfId="0" applyFont="1" applyBorder="1"/>
    <xf numFmtId="0" fontId="25" fillId="2" borderId="23" xfId="0" applyFont="1" applyFill="1" applyBorder="1" applyAlignment="1">
      <alignment horizontal="center"/>
    </xf>
    <xf numFmtId="0" fontId="25" fillId="2" borderId="27" xfId="0" applyFont="1" applyFill="1" applyBorder="1"/>
    <xf numFmtId="0" fontId="27" fillId="0" borderId="18" xfId="0" applyFont="1" applyBorder="1"/>
    <xf numFmtId="0" fontId="25" fillId="2" borderId="18" xfId="0" applyFont="1" applyFill="1" applyBorder="1" applyAlignment="1">
      <alignment horizontal="center"/>
    </xf>
    <xf numFmtId="0" fontId="25" fillId="2" borderId="28" xfId="0" applyFont="1" applyFill="1" applyBorder="1"/>
    <xf numFmtId="0" fontId="25" fillId="2" borderId="18" xfId="0" applyFont="1" applyFill="1" applyBorder="1"/>
    <xf numFmtId="0" fontId="16" fillId="0" borderId="22" xfId="0" applyFont="1" applyBorder="1" applyAlignment="1">
      <alignment horizontal="right"/>
    </xf>
    <xf numFmtId="0" fontId="16" fillId="0" borderId="23" xfId="0" applyFont="1" applyBorder="1" applyAlignment="1">
      <alignment horizontal="right"/>
    </xf>
    <xf numFmtId="0" fontId="47" fillId="0" borderId="23" xfId="0" applyFont="1" applyBorder="1"/>
    <xf numFmtId="0" fontId="17" fillId="0" borderId="23" xfId="0" applyFont="1" applyBorder="1" applyAlignment="1">
      <alignment horizontal="right"/>
    </xf>
    <xf numFmtId="0" fontId="17" fillId="0" borderId="24" xfId="0" applyFont="1" applyBorder="1" applyAlignment="1">
      <alignment horizontal="right"/>
    </xf>
    <xf numFmtId="0" fontId="17" fillId="0" borderId="0" xfId="0" applyFont="1" applyAlignment="1">
      <alignment horizontal="right"/>
    </xf>
    <xf numFmtId="0" fontId="16" fillId="0" borderId="25" xfId="0" applyFont="1" applyBorder="1" applyAlignment="1">
      <alignment horizontal="right"/>
    </xf>
    <xf numFmtId="0" fontId="16" fillId="0" borderId="0" xfId="0" applyFont="1" applyAlignment="1">
      <alignment horizontal="right"/>
    </xf>
    <xf numFmtId="0" fontId="17" fillId="0" borderId="1" xfId="0" applyFont="1" applyBorder="1"/>
    <xf numFmtId="0" fontId="18" fillId="0" borderId="1" xfId="0" applyFont="1" applyBorder="1" applyAlignment="1">
      <alignment wrapText="1"/>
    </xf>
    <xf numFmtId="14" fontId="16" fillId="0" borderId="0" xfId="0" applyNumberFormat="1" applyFont="1" applyAlignment="1">
      <alignment horizontal="right"/>
    </xf>
    <xf numFmtId="0" fontId="16" fillId="0" borderId="26" xfId="0" applyFont="1" applyBorder="1" applyAlignment="1">
      <alignment horizontal="right"/>
    </xf>
    <xf numFmtId="0" fontId="16" fillId="0" borderId="0" xfId="0" applyFont="1"/>
    <xf numFmtId="0" fontId="16" fillId="0" borderId="1" xfId="0" applyFont="1" applyBorder="1"/>
    <xf numFmtId="0" fontId="16" fillId="0" borderId="1" xfId="0" applyFont="1" applyBorder="1" applyAlignment="1">
      <alignment wrapText="1"/>
    </xf>
    <xf numFmtId="0" fontId="16" fillId="0" borderId="1" xfId="0" applyFont="1" applyBorder="1" applyAlignment="1">
      <alignment horizontal="right" wrapText="1"/>
    </xf>
    <xf numFmtId="0" fontId="16" fillId="0" borderId="29" xfId="0" applyFont="1" applyBorder="1" applyAlignment="1">
      <alignment horizontal="right"/>
    </xf>
    <xf numFmtId="0" fontId="16" fillId="0" borderId="16" xfId="0" applyFont="1" applyBorder="1"/>
    <xf numFmtId="38" fontId="16" fillId="0" borderId="0" xfId="0" applyNumberFormat="1" applyFont="1"/>
    <xf numFmtId="0" fontId="20" fillId="0" borderId="0" xfId="0" applyFont="1"/>
    <xf numFmtId="0" fontId="21" fillId="0" borderId="0" xfId="0" applyFont="1"/>
    <xf numFmtId="38" fontId="21" fillId="0" borderId="0" xfId="0" applyNumberFormat="1" applyFont="1"/>
    <xf numFmtId="0" fontId="21" fillId="0" borderId="16" xfId="0" applyFont="1" applyBorder="1"/>
    <xf numFmtId="0" fontId="21" fillId="0" borderId="1" xfId="0" applyFont="1" applyBorder="1"/>
    <xf numFmtId="0" fontId="21" fillId="0" borderId="16" xfId="0" applyFont="1" applyBorder="1" applyAlignment="1">
      <alignment wrapText="1"/>
    </xf>
    <xf numFmtId="10" fontId="21" fillId="0" borderId="1" xfId="0" applyNumberFormat="1" applyFont="1" applyBorder="1"/>
    <xf numFmtId="38" fontId="21" fillId="0" borderId="1" xfId="0" applyNumberFormat="1" applyFont="1" applyBorder="1"/>
    <xf numFmtId="9" fontId="21" fillId="0" borderId="0" xfId="0" applyNumberFormat="1" applyFont="1"/>
    <xf numFmtId="0" fontId="22" fillId="0" borderId="0" xfId="0" applyFont="1"/>
    <xf numFmtId="0" fontId="23" fillId="0" borderId="0" xfId="0" applyFont="1"/>
    <xf numFmtId="38" fontId="23" fillId="0" borderId="0" xfId="0" applyNumberFormat="1" applyFont="1"/>
    <xf numFmtId="0" fontId="19" fillId="0" borderId="0" xfId="0" applyFont="1"/>
    <xf numFmtId="38" fontId="19" fillId="0" borderId="0" xfId="0" applyNumberFormat="1" applyFont="1"/>
    <xf numFmtId="0" fontId="20" fillId="0" borderId="16" xfId="0" applyFont="1" applyBorder="1"/>
    <xf numFmtId="0" fontId="20" fillId="0" borderId="1" xfId="0" applyFont="1" applyBorder="1"/>
    <xf numFmtId="0" fontId="24" fillId="0" borderId="16" xfId="0" applyFont="1" applyBorder="1" applyAlignment="1">
      <alignment wrapText="1"/>
    </xf>
    <xf numFmtId="10" fontId="24" fillId="0" borderId="1" xfId="0" applyNumberFormat="1" applyFont="1" applyBorder="1"/>
    <xf numFmtId="0" fontId="24" fillId="0" borderId="16" xfId="0" applyFont="1" applyBorder="1"/>
    <xf numFmtId="0" fontId="16" fillId="0" borderId="0" xfId="0" applyFont="1" applyAlignment="1">
      <alignment horizontal="right" readingOrder="2"/>
    </xf>
    <xf numFmtId="0" fontId="16" fillId="0" borderId="27" xfId="0" applyFont="1" applyBorder="1" applyAlignment="1">
      <alignment horizontal="right"/>
    </xf>
    <xf numFmtId="0" fontId="16" fillId="0" borderId="18" xfId="0" applyFont="1" applyBorder="1" applyAlignment="1">
      <alignment horizontal="right"/>
    </xf>
    <xf numFmtId="0" fontId="16" fillId="0" borderId="28" xfId="0" applyFont="1" applyBorder="1" applyAlignment="1">
      <alignment horizontal="right"/>
    </xf>
    <xf numFmtId="0" fontId="43" fillId="0" borderId="0" xfId="0" applyFont="1" applyAlignment="1">
      <alignment horizontal="right"/>
    </xf>
    <xf numFmtId="0" fontId="0" fillId="0" borderId="0" xfId="0" applyAlignment="1">
      <alignment horizontal="center"/>
    </xf>
    <xf numFmtId="38" fontId="0" fillId="0" borderId="0" xfId="0" applyNumberFormat="1" applyAlignment="1">
      <alignment horizontal="right"/>
    </xf>
    <xf numFmtId="0" fontId="31" fillId="0" borderId="0" xfId="0" applyFont="1"/>
    <xf numFmtId="0" fontId="33" fillId="0" borderId="0" xfId="0" applyFont="1"/>
    <xf numFmtId="0" fontId="25" fillId="0" borderId="1" xfId="0" applyFont="1" applyBorder="1" applyAlignment="1">
      <alignment wrapText="1"/>
    </xf>
    <xf numFmtId="0" fontId="32" fillId="0" borderId="1" xfId="0" applyFont="1" applyBorder="1" applyAlignment="1">
      <alignment horizontal="right" wrapText="1"/>
    </xf>
    <xf numFmtId="0" fontId="25" fillId="0" borderId="1" xfId="0" applyFont="1" applyBorder="1" applyAlignment="1">
      <alignment horizontal="right" wrapText="1"/>
    </xf>
    <xf numFmtId="38" fontId="32" fillId="0" borderId="1" xfId="0" applyNumberFormat="1" applyFont="1" applyBorder="1" applyAlignment="1">
      <alignment horizontal="right" wrapText="1"/>
    </xf>
    <xf numFmtId="0" fontId="0" fillId="0" borderId="1" xfId="0" applyBorder="1"/>
    <xf numFmtId="2" fontId="0" fillId="0" borderId="1" xfId="0" applyNumberFormat="1" applyBorder="1"/>
    <xf numFmtId="0" fontId="37" fillId="0" borderId="29" xfId="0" applyFont="1" applyBorder="1" applyAlignment="1">
      <alignment horizontal="right"/>
    </xf>
    <xf numFmtId="0" fontId="0" fillId="0" borderId="29" xfId="0" applyBorder="1"/>
    <xf numFmtId="0" fontId="32" fillId="0" borderId="15" xfId="0" applyFont="1" applyBorder="1" applyAlignment="1">
      <alignment horizontal="center"/>
    </xf>
    <xf numFmtId="0" fontId="32" fillId="0" borderId="16" xfId="0" applyFont="1" applyBorder="1" applyAlignment="1">
      <alignment horizontal="center"/>
    </xf>
    <xf numFmtId="166" fontId="32" fillId="0" borderId="1" xfId="0" applyNumberFormat="1" applyFont="1" applyBorder="1" applyAlignment="1">
      <alignment horizontal="right"/>
    </xf>
    <xf numFmtId="38" fontId="32" fillId="0" borderId="1" xfId="0" applyNumberFormat="1" applyFont="1" applyBorder="1" applyAlignment="1">
      <alignment horizontal="right"/>
    </xf>
    <xf numFmtId="38" fontId="32" fillId="0" borderId="0" xfId="0" applyNumberFormat="1" applyFont="1"/>
    <xf numFmtId="38" fontId="32" fillId="0" borderId="1" xfId="0" applyNumberFormat="1" applyFont="1" applyBorder="1" applyAlignment="1">
      <alignment horizontal="center"/>
    </xf>
    <xf numFmtId="2" fontId="25" fillId="0" borderId="1" xfId="0" applyNumberFormat="1" applyFont="1" applyBorder="1" applyAlignment="1">
      <alignment horizontal="right" wrapText="1"/>
    </xf>
    <xf numFmtId="167" fontId="0" fillId="0" borderId="1" xfId="0" applyNumberFormat="1" applyBorder="1"/>
    <xf numFmtId="0" fontId="13" fillId="0" borderId="15" xfId="0" applyFont="1" applyBorder="1"/>
    <xf numFmtId="0" fontId="37" fillId="0" borderId="15" xfId="0" applyFont="1" applyBorder="1" applyAlignment="1">
      <alignment horizontal="center"/>
    </xf>
    <xf numFmtId="166" fontId="37" fillId="0" borderId="1" xfId="0" applyNumberFormat="1" applyFont="1" applyBorder="1" applyAlignment="1">
      <alignment horizontal="right"/>
    </xf>
    <xf numFmtId="38" fontId="37" fillId="0" borderId="1" xfId="0" applyNumberFormat="1" applyFont="1" applyBorder="1" applyAlignment="1">
      <alignment horizontal="right"/>
    </xf>
    <xf numFmtId="38" fontId="37" fillId="0" borderId="0" xfId="0" applyNumberFormat="1" applyFont="1"/>
    <xf numFmtId="38" fontId="37" fillId="0" borderId="1" xfId="0" applyNumberFormat="1" applyFont="1" applyBorder="1" applyAlignment="1">
      <alignment horizontal="center"/>
    </xf>
    <xf numFmtId="0" fontId="13" fillId="0" borderId="0" xfId="0" applyFont="1"/>
    <xf numFmtId="0" fontId="25" fillId="0" borderId="0" xfId="0" applyFont="1" applyAlignment="1">
      <alignment horizontal="right"/>
    </xf>
    <xf numFmtId="0" fontId="25" fillId="0" borderId="0" xfId="0" applyFont="1"/>
    <xf numFmtId="0" fontId="35" fillId="0" borderId="0" xfId="0" applyFont="1"/>
    <xf numFmtId="0" fontId="26" fillId="0" borderId="0" xfId="0" applyFont="1" applyAlignment="1">
      <alignment horizontal="right" readingOrder="2"/>
    </xf>
    <xf numFmtId="0" fontId="25" fillId="0" borderId="29" xfId="0" applyFont="1" applyBorder="1"/>
    <xf numFmtId="0" fontId="25" fillId="0" borderId="15" xfId="0" applyFont="1" applyBorder="1" applyAlignment="1">
      <alignment horizontal="right"/>
    </xf>
    <xf numFmtId="0" fontId="25" fillId="0" borderId="16" xfId="0" applyFont="1" applyBorder="1" applyAlignment="1">
      <alignment horizontal="right"/>
    </xf>
    <xf numFmtId="0" fontId="25" fillId="0" borderId="20" xfId="0" applyFont="1" applyBorder="1" applyAlignment="1">
      <alignment horizontal="right" wrapText="1"/>
    </xf>
    <xf numFmtId="0" fontId="25" fillId="0" borderId="1" xfId="0" applyFont="1" applyBorder="1" applyAlignment="1">
      <alignment wrapText="1" readingOrder="2"/>
    </xf>
    <xf numFmtId="10" fontId="25" fillId="0" borderId="1" xfId="0" applyNumberFormat="1" applyFont="1" applyBorder="1" applyAlignment="1">
      <alignment horizontal="right" wrapText="1"/>
    </xf>
    <xf numFmtId="0" fontId="25" fillId="0" borderId="19" xfId="0" applyFont="1" applyBorder="1" applyAlignment="1">
      <alignment horizontal="right" wrapText="1"/>
    </xf>
    <xf numFmtId="0" fontId="35" fillId="0" borderId="1" xfId="0" applyFont="1" applyBorder="1" applyAlignment="1">
      <alignment horizontal="right" wrapText="1"/>
    </xf>
    <xf numFmtId="3" fontId="25" fillId="0" borderId="1" xfId="0" applyNumberFormat="1" applyFont="1" applyBorder="1" applyAlignment="1">
      <alignment wrapText="1"/>
    </xf>
    <xf numFmtId="1" fontId="25" fillId="0" borderId="1" xfId="0" applyNumberFormat="1" applyFont="1" applyBorder="1" applyAlignment="1">
      <alignment wrapText="1"/>
    </xf>
    <xf numFmtId="9" fontId="25" fillId="0" borderId="1" xfId="0" applyNumberFormat="1" applyFont="1" applyBorder="1" applyAlignment="1">
      <alignment wrapText="1"/>
    </xf>
    <xf numFmtId="0" fontId="25" fillId="0" borderId="21" xfId="0" applyFont="1" applyBorder="1" applyAlignment="1">
      <alignment horizontal="right"/>
    </xf>
    <xf numFmtId="0" fontId="26" fillId="0" borderId="1" xfId="0" applyFont="1" applyBorder="1" applyAlignment="1">
      <alignment horizontal="right" wrapText="1" readingOrder="2"/>
    </xf>
    <xf numFmtId="0" fontId="25" fillId="0" borderId="20" xfId="0" applyFont="1" applyBorder="1" applyAlignment="1">
      <alignment horizontal="right"/>
    </xf>
    <xf numFmtId="0" fontId="35" fillId="0" borderId="1" xfId="0" applyFont="1" applyBorder="1" applyAlignment="1">
      <alignment horizontal="right" wrapText="1" readingOrder="2"/>
    </xf>
    <xf numFmtId="2" fontId="25" fillId="0" borderId="1" xfId="0" applyNumberFormat="1" applyFont="1" applyBorder="1" applyAlignment="1">
      <alignment wrapText="1"/>
    </xf>
    <xf numFmtId="0" fontId="25" fillId="0" borderId="19" xfId="0" applyFont="1" applyBorder="1" applyAlignment="1">
      <alignment horizontal="right" wrapText="1" readingOrder="2"/>
    </xf>
    <xf numFmtId="0" fontId="25" fillId="0" borderId="21" xfId="0" applyFont="1" applyBorder="1" applyAlignment="1">
      <alignment horizontal="right" wrapText="1" readingOrder="2"/>
    </xf>
    <xf numFmtId="0" fontId="25" fillId="0" borderId="20" xfId="0" applyFont="1" applyBorder="1" applyAlignment="1">
      <alignment horizontal="right" wrapText="1" readingOrder="2"/>
    </xf>
    <xf numFmtId="0" fontId="36" fillId="0" borderId="0" xfId="0" applyFont="1" applyAlignment="1">
      <alignment horizontal="right"/>
    </xf>
    <xf numFmtId="0" fontId="35" fillId="0" borderId="15" xfId="0" applyFont="1" applyBorder="1" applyAlignment="1">
      <alignment horizontal="right"/>
    </xf>
    <xf numFmtId="0" fontId="35" fillId="0" borderId="21" xfId="0" applyFont="1" applyBorder="1" applyAlignment="1">
      <alignment horizontal="right" wrapText="1"/>
    </xf>
    <xf numFmtId="0" fontId="35" fillId="0" borderId="20" xfId="0" applyFont="1" applyBorder="1" applyAlignment="1">
      <alignment horizontal="right" wrapText="1"/>
    </xf>
    <xf numFmtId="0" fontId="38" fillId="0" borderId="29" xfId="0" applyFont="1" applyBorder="1"/>
    <xf numFmtId="0" fontId="41" fillId="0" borderId="15" xfId="0" applyFont="1" applyBorder="1" applyAlignment="1">
      <alignment horizontal="right"/>
    </xf>
    <xf numFmtId="0" fontId="42" fillId="0" borderId="15" xfId="0" applyFont="1" applyBorder="1" applyAlignment="1">
      <alignment horizontal="right" wrapText="1"/>
    </xf>
    <xf numFmtId="0" fontId="38" fillId="0" borderId="15" xfId="0" applyFont="1" applyBorder="1" applyAlignment="1">
      <alignment horizontal="right"/>
    </xf>
    <xf numFmtId="38" fontId="38" fillId="0" borderId="15" xfId="0" applyNumberFormat="1" applyFont="1" applyBorder="1"/>
    <xf numFmtId="0" fontId="38" fillId="0" borderId="16" xfId="0" applyFont="1" applyBorder="1" applyAlignment="1">
      <alignment horizontal="right"/>
    </xf>
    <xf numFmtId="3" fontId="35" fillId="0" borderId="1" xfId="0" applyNumberFormat="1" applyFont="1" applyBorder="1" applyAlignment="1">
      <alignment wrapText="1"/>
    </xf>
    <xf numFmtId="0" fontId="35" fillId="0" borderId="0" xfId="0" applyFont="1" applyAlignment="1">
      <alignment horizontal="right"/>
    </xf>
    <xf numFmtId="9" fontId="35" fillId="0" borderId="1" xfId="0" applyNumberFormat="1" applyFont="1" applyBorder="1" applyAlignment="1">
      <alignment wrapText="1"/>
    </xf>
    <xf numFmtId="0" fontId="38" fillId="0" borderId="29" xfId="0" applyFont="1" applyBorder="1" applyAlignment="1">
      <alignment horizontal="right"/>
    </xf>
    <xf numFmtId="0" fontId="26" fillId="0" borderId="16" xfId="0" applyFont="1" applyBorder="1" applyAlignment="1">
      <alignment horizontal="right"/>
    </xf>
    <xf numFmtId="0" fontId="25" fillId="0" borderId="15" xfId="0" applyFont="1" applyBorder="1"/>
    <xf numFmtId="0" fontId="25" fillId="0" borderId="16" xfId="0" applyFont="1" applyBorder="1"/>
    <xf numFmtId="1" fontId="35" fillId="0" borderId="1" xfId="0" applyNumberFormat="1" applyFont="1" applyBorder="1" applyAlignment="1">
      <alignment wrapText="1"/>
    </xf>
    <xf numFmtId="0" fontId="25" fillId="0" borderId="21" xfId="0" applyFont="1" applyBorder="1" applyAlignment="1">
      <alignment horizontal="right" wrapText="1"/>
    </xf>
    <xf numFmtId="1" fontId="45" fillId="0" borderId="1" xfId="0" applyNumberFormat="1" applyFont="1" applyBorder="1" applyAlignment="1">
      <alignment wrapText="1"/>
    </xf>
    <xf numFmtId="0" fontId="25" fillId="0" borderId="1" xfId="0" applyFont="1" applyBorder="1" applyAlignment="1">
      <alignment horizontal="right" wrapText="1" readingOrder="2"/>
    </xf>
    <xf numFmtId="0" fontId="36" fillId="0" borderId="29" xfId="0" applyFont="1" applyBorder="1"/>
    <xf numFmtId="0" fontId="36" fillId="0" borderId="15" xfId="0" applyFont="1" applyBorder="1" applyAlignment="1">
      <alignment horizontal="right"/>
    </xf>
    <xf numFmtId="0" fontId="13" fillId="0" borderId="15" xfId="0" applyFont="1" applyBorder="1" applyAlignment="1">
      <alignment horizontal="right"/>
    </xf>
    <xf numFmtId="3" fontId="36" fillId="0" borderId="15" xfId="0" applyNumberFormat="1" applyFont="1" applyBorder="1" applyAlignment="1">
      <alignment wrapText="1"/>
    </xf>
    <xf numFmtId="164" fontId="36" fillId="0" borderId="15" xfId="0" applyNumberFormat="1" applyFont="1" applyBorder="1" applyAlignment="1">
      <alignment wrapText="1"/>
    </xf>
    <xf numFmtId="3" fontId="36" fillId="0" borderId="1" xfId="0" applyNumberFormat="1" applyFont="1" applyBorder="1" applyAlignment="1">
      <alignment wrapText="1"/>
    </xf>
    <xf numFmtId="0" fontId="36" fillId="0" borderId="1" xfId="0" applyFont="1" applyBorder="1" applyAlignment="1">
      <alignment wrapText="1"/>
    </xf>
    <xf numFmtId="164" fontId="25" fillId="0" borderId="1" xfId="0" applyNumberFormat="1" applyFont="1" applyBorder="1" applyAlignment="1">
      <alignment horizontal="right" wrapText="1"/>
    </xf>
    <xf numFmtId="0" fontId="25" fillId="0" borderId="1" xfId="0" applyFont="1" applyBorder="1" applyAlignment="1">
      <alignment horizontal="right"/>
    </xf>
    <xf numFmtId="0" fontId="35" fillId="0" borderId="15" xfId="0" applyFont="1" applyBorder="1" applyAlignment="1">
      <alignment horizontal="right" wrapText="1"/>
    </xf>
    <xf numFmtId="38" fontId="35" fillId="0" borderId="15" xfId="0" applyNumberFormat="1" applyFont="1" applyBorder="1" applyAlignment="1">
      <alignment wrapText="1"/>
    </xf>
    <xf numFmtId="38" fontId="35" fillId="0" borderId="16" xfId="0" applyNumberFormat="1" applyFont="1" applyBorder="1" applyAlignment="1">
      <alignment wrapText="1"/>
    </xf>
    <xf numFmtId="0" fontId="35" fillId="0" borderId="29" xfId="0" applyFont="1" applyBorder="1" applyAlignment="1">
      <alignment horizontal="right" wrapText="1"/>
    </xf>
    <xf numFmtId="38" fontId="25" fillId="0" borderId="1" xfId="0" applyNumberFormat="1" applyFont="1" applyBorder="1" applyAlignment="1">
      <alignment horizontal="right" wrapText="1" readingOrder="2"/>
    </xf>
    <xf numFmtId="38" fontId="25" fillId="0" borderId="1" xfId="0" applyNumberFormat="1" applyFont="1" applyBorder="1" applyAlignment="1">
      <alignment wrapText="1" readingOrder="2"/>
    </xf>
    <xf numFmtId="38" fontId="25" fillId="0" borderId="1" xfId="0" applyNumberFormat="1" applyFont="1" applyBorder="1"/>
    <xf numFmtId="0" fontId="35" fillId="0" borderId="1" xfId="0" applyFont="1" applyBorder="1" applyAlignment="1">
      <alignment horizontal="right"/>
    </xf>
    <xf numFmtId="0" fontId="35" fillId="0" borderId="29" xfId="0" applyFont="1" applyBorder="1" applyAlignment="1">
      <alignment horizontal="right"/>
    </xf>
    <xf numFmtId="38" fontId="35" fillId="0" borderId="15" xfId="0" applyNumberFormat="1" applyFont="1" applyBorder="1"/>
    <xf numFmtId="38" fontId="35" fillId="0" borderId="1" xfId="0" applyNumberFormat="1" applyFont="1" applyBorder="1"/>
    <xf numFmtId="0" fontId="35" fillId="0" borderId="16" xfId="0" applyFont="1" applyBorder="1" applyAlignment="1">
      <alignment horizontal="right"/>
    </xf>
    <xf numFmtId="10" fontId="35" fillId="0" borderId="15" xfId="0" applyNumberFormat="1" applyFont="1" applyBorder="1" applyAlignment="1">
      <alignment horizontal="right" wrapText="1"/>
    </xf>
    <xf numFmtId="0" fontId="35" fillId="0" borderId="16" xfId="0" applyFont="1" applyBorder="1" applyAlignment="1">
      <alignment horizontal="right" wrapText="1"/>
    </xf>
    <xf numFmtId="0" fontId="30" fillId="0" borderId="0" xfId="0" applyFont="1" applyAlignment="1">
      <alignment horizontal="right"/>
    </xf>
    <xf numFmtId="0" fontId="32" fillId="0" borderId="0" xfId="0" applyFont="1" applyAlignment="1">
      <alignment horizontal="right"/>
    </xf>
    <xf numFmtId="0" fontId="38" fillId="0" borderId="0" xfId="0" applyFont="1" applyAlignment="1">
      <alignment horizontal="right"/>
    </xf>
    <xf numFmtId="0" fontId="31" fillId="0" borderId="0" xfId="0" applyFont="1" applyAlignment="1">
      <alignment horizontal="right"/>
    </xf>
    <xf numFmtId="0" fontId="32" fillId="0" borderId="29" xfId="0" applyFont="1" applyBorder="1" applyAlignment="1">
      <alignment horizontal="right"/>
    </xf>
    <xf numFmtId="0" fontId="32" fillId="0" borderId="15" xfId="0" applyFont="1" applyBorder="1" applyAlignment="1">
      <alignment horizontal="right"/>
    </xf>
    <xf numFmtId="0" fontId="32" fillId="0" borderId="16" xfId="0" applyFont="1" applyBorder="1" applyAlignment="1">
      <alignment horizontal="right"/>
    </xf>
    <xf numFmtId="0" fontId="32" fillId="0" borderId="1" xfId="0" applyFont="1" applyBorder="1" applyAlignment="1">
      <alignment horizontal="right" wrapText="1" readingOrder="2"/>
    </xf>
    <xf numFmtId="0" fontId="38" fillId="0" borderId="20" xfId="0" applyFont="1" applyBorder="1" applyAlignment="1">
      <alignment wrapText="1" readingOrder="2"/>
    </xf>
    <xf numFmtId="0" fontId="38" fillId="0" borderId="15" xfId="0" applyFont="1" applyBorder="1" applyAlignment="1">
      <alignment horizontal="right" wrapText="1"/>
    </xf>
    <xf numFmtId="38" fontId="38" fillId="0" borderId="15" xfId="0" applyNumberFormat="1" applyFont="1" applyBorder="1" applyAlignment="1">
      <alignment wrapText="1"/>
    </xf>
    <xf numFmtId="0" fontId="38" fillId="0" borderId="16" xfId="0" applyFont="1" applyBorder="1" applyAlignment="1">
      <alignment horizontal="right" wrapText="1"/>
    </xf>
    <xf numFmtId="0" fontId="25" fillId="0" borderId="24" xfId="0" applyFont="1" applyBorder="1" applyAlignment="1">
      <alignment horizontal="right" wrapText="1" readingOrder="2"/>
    </xf>
    <xf numFmtId="0" fontId="38" fillId="0" borderId="20" xfId="0" applyFont="1" applyBorder="1" applyAlignment="1">
      <alignment horizontal="right" wrapText="1" readingOrder="2"/>
    </xf>
    <xf numFmtId="3" fontId="25" fillId="0" borderId="1" xfId="0" applyNumberFormat="1" applyFont="1" applyBorder="1" applyAlignment="1">
      <alignment horizontal="right" wrapText="1"/>
    </xf>
    <xf numFmtId="9" fontId="25" fillId="0" borderId="20" xfId="0" applyNumberFormat="1" applyFont="1" applyBorder="1" applyAlignment="1">
      <alignment wrapText="1"/>
    </xf>
    <xf numFmtId="0" fontId="32" fillId="0" borderId="26" xfId="0" applyFont="1" applyBorder="1" applyAlignment="1">
      <alignment horizontal="right"/>
    </xf>
    <xf numFmtId="0" fontId="38" fillId="0" borderId="1" xfId="0" applyFont="1" applyBorder="1" applyAlignment="1">
      <alignment horizontal="right" wrapText="1" readingOrder="2"/>
    </xf>
    <xf numFmtId="0" fontId="32" fillId="0" borderId="21" xfId="0" applyFont="1" applyBorder="1" applyAlignment="1">
      <alignment horizontal="right"/>
    </xf>
    <xf numFmtId="0" fontId="38" fillId="0" borderId="1" xfId="0" applyFont="1" applyBorder="1" applyAlignment="1">
      <alignment horizontal="right" wrapText="1"/>
    </xf>
    <xf numFmtId="38" fontId="38" fillId="0" borderId="1" xfId="0" applyNumberFormat="1" applyFont="1" applyBorder="1" applyAlignment="1">
      <alignment wrapText="1" readingOrder="2"/>
    </xf>
    <xf numFmtId="165" fontId="38" fillId="0" borderId="1" xfId="2" applyNumberFormat="1" applyFont="1" applyFill="1" applyBorder="1" applyAlignment="1" applyProtection="1">
      <alignment horizontal="right"/>
    </xf>
    <xf numFmtId="0" fontId="38" fillId="0" borderId="1" xfId="0" applyFont="1" applyBorder="1" applyAlignment="1">
      <alignment horizontal="right"/>
    </xf>
    <xf numFmtId="0" fontId="38" fillId="0" borderId="1" xfId="0" applyFont="1" applyBorder="1" applyAlignment="1">
      <alignment wrapText="1"/>
    </xf>
    <xf numFmtId="0" fontId="38" fillId="0" borderId="29" xfId="0" applyFont="1" applyBorder="1" applyAlignment="1">
      <alignment horizontal="right" wrapText="1" readingOrder="2"/>
    </xf>
    <xf numFmtId="0" fontId="32" fillId="0" borderId="19" xfId="0" applyFont="1" applyBorder="1" applyAlignment="1">
      <alignment horizontal="right"/>
    </xf>
    <xf numFmtId="0" fontId="32" fillId="0" borderId="20" xfId="0" applyFont="1" applyBorder="1" applyAlignment="1">
      <alignment horizontal="right"/>
    </xf>
    <xf numFmtId="0" fontId="32" fillId="0" borderId="19" xfId="0" applyFont="1" applyBorder="1" applyAlignment="1">
      <alignment horizontal="right" wrapText="1" readingOrder="2"/>
    </xf>
    <xf numFmtId="38" fontId="32" fillId="0" borderId="1" xfId="0" applyNumberFormat="1" applyFont="1" applyBorder="1" applyAlignment="1">
      <alignment wrapText="1" readingOrder="2"/>
    </xf>
    <xf numFmtId="0" fontId="31" fillId="0" borderId="1" xfId="0" applyFont="1" applyBorder="1" applyAlignment="1">
      <alignment horizontal="right" wrapText="1"/>
    </xf>
    <xf numFmtId="0" fontId="38" fillId="0" borderId="29" xfId="0" applyFont="1" applyBorder="1" applyAlignment="1">
      <alignment horizontal="right" readingOrder="2"/>
    </xf>
    <xf numFmtId="38" fontId="32" fillId="0" borderId="1" xfId="0" applyNumberFormat="1" applyFont="1" applyBorder="1" applyAlignment="1">
      <alignment horizontal="right" wrapText="1" readingOrder="2"/>
    </xf>
    <xf numFmtId="0" fontId="32" fillId="0" borderId="28" xfId="0" applyFont="1" applyBorder="1" applyAlignment="1">
      <alignment horizontal="right"/>
    </xf>
    <xf numFmtId="0" fontId="32" fillId="0" borderId="24" xfId="0" applyFont="1" applyBorder="1" applyAlignment="1">
      <alignment horizontal="right" wrapText="1" readingOrder="2"/>
    </xf>
    <xf numFmtId="0" fontId="25" fillId="0" borderId="16" xfId="0" applyFont="1" applyBorder="1" applyAlignment="1">
      <alignment horizontal="right" wrapText="1" readingOrder="2"/>
    </xf>
    <xf numFmtId="0" fontId="38" fillId="0" borderId="1" xfId="0" applyFont="1" applyBorder="1" applyAlignment="1">
      <alignment wrapText="1" readingOrder="2"/>
    </xf>
    <xf numFmtId="164" fontId="32" fillId="0" borderId="1" xfId="0" applyNumberFormat="1" applyFont="1" applyBorder="1" applyAlignment="1">
      <alignment horizontal="right" wrapText="1" readingOrder="2"/>
    </xf>
    <xf numFmtId="38" fontId="32" fillId="0" borderId="1" xfId="0" applyNumberFormat="1" applyFont="1" applyBorder="1" applyAlignment="1">
      <alignment wrapText="1" readingOrder="1"/>
    </xf>
    <xf numFmtId="165" fontId="32" fillId="0" borderId="1" xfId="2" applyNumberFormat="1" applyFont="1" applyFill="1" applyBorder="1" applyAlignment="1" applyProtection="1">
      <alignment horizontal="right"/>
    </xf>
    <xf numFmtId="0" fontId="32" fillId="0" borderId="24" xfId="0" applyFont="1" applyBorder="1" applyAlignment="1">
      <alignment horizontal="right"/>
    </xf>
    <xf numFmtId="0" fontId="38" fillId="0" borderId="26" xfId="0" applyFont="1" applyBorder="1" applyAlignment="1">
      <alignment horizontal="right"/>
    </xf>
    <xf numFmtId="0" fontId="32" fillId="0" borderId="16" xfId="0" applyFont="1" applyBorder="1" applyAlignment="1">
      <alignment horizontal="right" wrapText="1" readingOrder="2"/>
    </xf>
    <xf numFmtId="0" fontId="25" fillId="0" borderId="26" xfId="0" applyFont="1" applyBorder="1" applyAlignment="1">
      <alignment horizontal="right" wrapText="1" readingOrder="2"/>
    </xf>
    <xf numFmtId="38" fontId="38" fillId="0" borderId="1" xfId="0" applyNumberFormat="1" applyFont="1" applyBorder="1" applyAlignment="1">
      <alignment wrapText="1" readingOrder="1"/>
    </xf>
    <xf numFmtId="0" fontId="48" fillId="2" borderId="26" xfId="0" applyFont="1" applyFill="1" applyBorder="1"/>
    <xf numFmtId="0" fontId="49" fillId="0" borderId="0" xfId="0" applyFont="1"/>
    <xf numFmtId="0" fontId="25" fillId="0" borderId="1" xfId="2" applyNumberFormat="1" applyFont="1" applyFill="1" applyBorder="1" applyAlignment="1" applyProtection="1"/>
    <xf numFmtId="0" fontId="25" fillId="0" borderId="0" xfId="0" applyFont="1" applyAlignment="1">
      <alignment horizontal="left"/>
    </xf>
    <xf numFmtId="0" fontId="27" fillId="0" borderId="0" xfId="0" applyFont="1" applyAlignment="1">
      <alignment horizontal="center" readingOrder="2"/>
    </xf>
    <xf numFmtId="0" fontId="35" fillId="0" borderId="0" xfId="0" applyFont="1" applyAlignment="1">
      <alignment horizontal="center"/>
    </xf>
    <xf numFmtId="38" fontId="35" fillId="0" borderId="15" xfId="0" applyNumberFormat="1" applyFont="1" applyBorder="1" applyAlignment="1">
      <alignment wrapText="1" readingOrder="2"/>
    </xf>
    <xf numFmtId="38" fontId="35" fillId="0" borderId="16" xfId="0" applyNumberFormat="1" applyFont="1" applyBorder="1"/>
    <xf numFmtId="38" fontId="46" fillId="0" borderId="0" xfId="0" applyNumberFormat="1" applyFont="1" applyAlignment="1">
      <alignment horizontal="left"/>
    </xf>
    <xf numFmtId="0" fontId="31" fillId="0" borderId="0" xfId="0" applyFont="1" applyAlignment="1">
      <alignment horizontal="center"/>
    </xf>
    <xf numFmtId="38" fontId="32" fillId="0" borderId="15" xfId="0" applyNumberFormat="1" applyFont="1" applyBorder="1" applyAlignment="1">
      <alignment horizontal="right"/>
    </xf>
    <xf numFmtId="0" fontId="38" fillId="0" borderId="15" xfId="0" applyFont="1" applyBorder="1" applyAlignment="1">
      <alignment horizontal="right" wrapText="1" readingOrder="2"/>
    </xf>
    <xf numFmtId="38" fontId="38" fillId="0" borderId="15" xfId="0" applyNumberFormat="1" applyFont="1" applyBorder="1" applyAlignment="1">
      <alignment wrapText="1" readingOrder="2"/>
    </xf>
    <xf numFmtId="0" fontId="38" fillId="0" borderId="15" xfId="0" applyFont="1" applyBorder="1" applyAlignment="1">
      <alignment horizontal="right" readingOrder="2"/>
    </xf>
    <xf numFmtId="1" fontId="32" fillId="0" borderId="1" xfId="0" applyNumberFormat="1" applyFont="1" applyBorder="1" applyAlignment="1">
      <alignment horizontal="right" readingOrder="2"/>
    </xf>
    <xf numFmtId="38" fontId="38" fillId="0" borderId="1" xfId="0" applyNumberFormat="1" applyFont="1" applyBorder="1"/>
    <xf numFmtId="38" fontId="32" fillId="0" borderId="15" xfId="0" applyNumberFormat="1" applyFont="1" applyBorder="1"/>
    <xf numFmtId="38" fontId="32" fillId="0" borderId="0" xfId="0" applyNumberFormat="1" applyFont="1" applyAlignment="1">
      <alignment horizontal="left"/>
    </xf>
    <xf numFmtId="0" fontId="38" fillId="0" borderId="0" xfId="0" applyFont="1" applyAlignment="1">
      <alignment horizontal="center"/>
    </xf>
    <xf numFmtId="0" fontId="27" fillId="0" borderId="0" xfId="0" applyFont="1" applyAlignment="1">
      <alignment horizontal="left"/>
    </xf>
    <xf numFmtId="0" fontId="25" fillId="0" borderId="0" xfId="0" applyFont="1" applyAlignment="1">
      <alignment horizontal="center"/>
    </xf>
    <xf numFmtId="0" fontId="27" fillId="0" borderId="24" xfId="0" applyFont="1" applyBorder="1" applyAlignment="1">
      <alignment horizontal="right"/>
    </xf>
    <xf numFmtId="0" fontId="50" fillId="0" borderId="0" xfId="0" applyFont="1" applyAlignment="1">
      <alignment horizontal="right" indent="2"/>
    </xf>
    <xf numFmtId="0" fontId="25" fillId="0" borderId="25" xfId="0" applyFont="1" applyBorder="1"/>
    <xf numFmtId="0" fontId="27" fillId="0" borderId="26" xfId="0" applyFont="1" applyBorder="1" applyAlignment="1">
      <alignment horizontal="right"/>
    </xf>
    <xf numFmtId="0" fontId="27" fillId="0" borderId="28" xfId="0" applyFont="1" applyBorder="1"/>
    <xf numFmtId="0" fontId="27" fillId="0" borderId="0" xfId="0" applyFont="1" applyAlignment="1">
      <alignment horizontal="right" indent="2"/>
    </xf>
    <xf numFmtId="0" fontId="27" fillId="0" borderId="28" xfId="0" applyFont="1" applyBorder="1" applyAlignment="1">
      <alignment horizontal="right"/>
    </xf>
    <xf numFmtId="0" fontId="27" fillId="0" borderId="0" xfId="0" applyFont="1" applyAlignment="1">
      <alignment horizontal="right"/>
    </xf>
    <xf numFmtId="0" fontId="27" fillId="0" borderId="24" xfId="0" applyFont="1" applyBorder="1"/>
    <xf numFmtId="0" fontId="51" fillId="0" borderId="0" xfId="0" applyFont="1" applyAlignment="1">
      <alignment horizontal="right"/>
    </xf>
    <xf numFmtId="2" fontId="51" fillId="0" borderId="18" xfId="0" applyNumberFormat="1" applyFont="1" applyBorder="1" applyAlignment="1">
      <alignment horizontal="right"/>
    </xf>
    <xf numFmtId="0" fontId="51" fillId="0" borderId="26" xfId="0" applyFont="1" applyBorder="1" applyAlignment="1">
      <alignment horizontal="right"/>
    </xf>
    <xf numFmtId="10" fontId="35" fillId="0" borderId="15" xfId="0" applyNumberFormat="1" applyFont="1" applyBorder="1" applyAlignment="1">
      <alignment horizontal="right"/>
    </xf>
    <xf numFmtId="0" fontId="25" fillId="0" borderId="29" xfId="0" applyFont="1" applyBorder="1" applyAlignment="1">
      <alignment horizontal="right"/>
    </xf>
    <xf numFmtId="0" fontId="33" fillId="0" borderId="1" xfId="0" applyFont="1" applyBorder="1" applyAlignment="1">
      <alignment horizontal="right" wrapText="1"/>
    </xf>
    <xf numFmtId="0" fontId="46" fillId="7" borderId="1" xfId="0" applyFont="1" applyFill="1" applyBorder="1" applyAlignment="1" applyProtection="1">
      <alignment horizontal="right"/>
      <protection locked="0"/>
    </xf>
    <xf numFmtId="0" fontId="46" fillId="7" borderId="1" xfId="0" applyFont="1" applyFill="1" applyBorder="1" applyAlignment="1" applyProtection="1">
      <alignment horizontal="center"/>
      <protection locked="0"/>
    </xf>
    <xf numFmtId="38" fontId="32" fillId="0" borderId="1" xfId="2" applyNumberFormat="1" applyFont="1" applyFill="1" applyBorder="1" applyAlignment="1" applyProtection="1">
      <alignment horizontal="center"/>
    </xf>
    <xf numFmtId="0" fontId="32" fillId="0" borderId="0" xfId="0" applyFont="1" applyAlignment="1">
      <alignment horizontal="center"/>
    </xf>
    <xf numFmtId="38" fontId="34" fillId="0" borderId="0" xfId="0" applyNumberFormat="1" applyFont="1" applyAlignment="1">
      <alignment horizontal="right"/>
    </xf>
    <xf numFmtId="0" fontId="35" fillId="2" borderId="22" xfId="0" applyFont="1" applyFill="1" applyBorder="1"/>
    <xf numFmtId="0" fontId="26" fillId="0" borderId="23" xfId="0" applyFont="1" applyBorder="1" applyAlignment="1">
      <alignment horizontal="right"/>
    </xf>
    <xf numFmtId="0" fontId="35" fillId="2" borderId="23" xfId="0" applyFont="1" applyFill="1" applyBorder="1"/>
    <xf numFmtId="0" fontId="16" fillId="0" borderId="1" xfId="0" applyFont="1" applyBorder="1" applyAlignment="1">
      <alignment horizontal="right" wrapText="1" indent="4"/>
    </xf>
    <xf numFmtId="0" fontId="25" fillId="2" borderId="0" xfId="0" applyFont="1" applyFill="1" applyAlignment="1">
      <alignment horizontal="center"/>
    </xf>
    <xf numFmtId="0" fontId="27" fillId="0" borderId="26" xfId="0" applyFont="1" applyBorder="1"/>
    <xf numFmtId="0" fontId="31" fillId="0" borderId="0" xfId="0" applyFont="1" applyAlignment="1">
      <alignment horizontal="right" wrapText="1"/>
    </xf>
    <xf numFmtId="168" fontId="1" fillId="2" borderId="0" xfId="0" applyNumberFormat="1" applyFont="1" applyFill="1"/>
    <xf numFmtId="0" fontId="52" fillId="0" borderId="0" xfId="0" applyFont="1" applyAlignment="1">
      <alignment horizontal="right" readingOrder="1"/>
    </xf>
    <xf numFmtId="0" fontId="53" fillId="0" borderId="0" xfId="0" applyFont="1" applyAlignment="1">
      <alignment horizontal="right"/>
    </xf>
    <xf numFmtId="0" fontId="32" fillId="0" borderId="29" xfId="0" applyFont="1" applyBorder="1" applyAlignment="1">
      <alignment vertical="center"/>
    </xf>
    <xf numFmtId="0" fontId="38" fillId="0" borderId="16" xfId="0" applyFont="1" applyBorder="1" applyAlignment="1">
      <alignment horizontal="right" vertical="center"/>
    </xf>
    <xf numFmtId="0" fontId="32" fillId="0" borderId="1" xfId="0" applyFont="1" applyBorder="1" applyAlignment="1">
      <alignment vertical="center" wrapText="1"/>
    </xf>
    <xf numFmtId="0" fontId="38" fillId="0" borderId="29" xfId="0" applyFont="1" applyBorder="1" applyAlignment="1">
      <alignment vertical="center"/>
    </xf>
    <xf numFmtId="0" fontId="32" fillId="0" borderId="16" xfId="0" applyFont="1" applyBorder="1" applyAlignment="1">
      <alignment horizontal="right" vertical="center" wrapText="1"/>
    </xf>
    <xf numFmtId="9" fontId="51" fillId="0" borderId="0" xfId="0" applyNumberFormat="1" applyFont="1" applyAlignment="1">
      <alignment horizontal="right"/>
    </xf>
    <xf numFmtId="0" fontId="38" fillId="0" borderId="22" xfId="0" applyFont="1" applyBorder="1" applyAlignment="1">
      <alignment vertical="center"/>
    </xf>
    <xf numFmtId="0" fontId="32" fillId="0" borderId="24" xfId="0" applyFont="1" applyBorder="1" applyAlignment="1">
      <alignment horizontal="right" vertical="center" wrapText="1"/>
    </xf>
    <xf numFmtId="0" fontId="32" fillId="0" borderId="19" xfId="0" applyFont="1" applyBorder="1" applyAlignment="1">
      <alignment vertical="center" wrapText="1"/>
    </xf>
    <xf numFmtId="0" fontId="32" fillId="0" borderId="25" xfId="0" applyFont="1" applyBorder="1" applyAlignment="1">
      <alignment vertical="center"/>
    </xf>
    <xf numFmtId="0" fontId="32" fillId="0" borderId="26" xfId="0" applyFont="1" applyBorder="1" applyAlignment="1">
      <alignment horizontal="right" vertical="center" wrapText="1"/>
    </xf>
    <xf numFmtId="0" fontId="32" fillId="0" borderId="21" xfId="0" applyFont="1" applyBorder="1" applyAlignment="1">
      <alignment vertical="center" wrapText="1"/>
    </xf>
    <xf numFmtId="0" fontId="32" fillId="0" borderId="27" xfId="0" applyFont="1" applyBorder="1" applyAlignment="1">
      <alignment vertical="center"/>
    </xf>
    <xf numFmtId="0" fontId="32" fillId="0" borderId="28" xfId="0" applyFont="1" applyBorder="1" applyAlignment="1">
      <alignment horizontal="right" vertical="center" wrapText="1"/>
    </xf>
    <xf numFmtId="0" fontId="32" fillId="0" borderId="20" xfId="0" applyFont="1" applyBorder="1" applyAlignment="1">
      <alignment vertical="center" wrapText="1"/>
    </xf>
    <xf numFmtId="0" fontId="54" fillId="0" borderId="0" xfId="0" applyFont="1"/>
    <xf numFmtId="0" fontId="9" fillId="2" borderId="10" xfId="0" applyFont="1" applyFill="1" applyBorder="1" applyAlignment="1">
      <alignment horizontal="center" vertical="center" wrapText="1" readingOrder="2"/>
    </xf>
    <xf numFmtId="0" fontId="9" fillId="2" borderId="0" xfId="0" applyFont="1" applyFill="1" applyAlignment="1">
      <alignment horizontal="center" vertical="center" wrapText="1" readingOrder="2"/>
    </xf>
    <xf numFmtId="0" fontId="9" fillId="2" borderId="11" xfId="0" applyFont="1" applyFill="1" applyBorder="1" applyAlignment="1">
      <alignment horizontal="center" vertical="center" wrapText="1" readingOrder="2"/>
    </xf>
    <xf numFmtId="0" fontId="14" fillId="2" borderId="10" xfId="0" applyFont="1" applyFill="1" applyBorder="1" applyAlignment="1">
      <alignment horizontal="right" wrapText="1" readingOrder="2"/>
    </xf>
    <xf numFmtId="0" fontId="14" fillId="2" borderId="0" xfId="0" applyFont="1" applyFill="1" applyAlignment="1">
      <alignment horizontal="right" wrapText="1" readingOrder="2"/>
    </xf>
    <xf numFmtId="0" fontId="14" fillId="2" borderId="11" xfId="0" applyFont="1" applyFill="1" applyBorder="1" applyAlignment="1">
      <alignment horizontal="right" wrapText="1" readingOrder="2"/>
    </xf>
    <xf numFmtId="0" fontId="14" fillId="2" borderId="10" xfId="0" applyFont="1" applyFill="1" applyBorder="1" applyAlignment="1">
      <alignment horizontal="right" vertical="center" wrapText="1"/>
    </xf>
    <xf numFmtId="0" fontId="14" fillId="2" borderId="0" xfId="0" applyFont="1" applyFill="1" applyAlignment="1">
      <alignment horizontal="right" vertical="center" wrapText="1"/>
    </xf>
    <xf numFmtId="0" fontId="14" fillId="2" borderId="11" xfId="0" applyFont="1" applyFill="1" applyBorder="1" applyAlignment="1">
      <alignment horizontal="right" vertical="center" wrapText="1"/>
    </xf>
    <xf numFmtId="0" fontId="9" fillId="4"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8" fillId="2" borderId="0" xfId="0" applyFont="1" applyFill="1" applyAlignment="1">
      <alignment horizontal="center" readingOrder="2"/>
    </xf>
    <xf numFmtId="0" fontId="8" fillId="2" borderId="0" xfId="0" applyFont="1" applyFill="1" applyAlignment="1">
      <alignment horizontal="center" vertical="center" readingOrder="2"/>
    </xf>
    <xf numFmtId="0" fontId="14" fillId="2" borderId="10" xfId="0" applyFont="1" applyFill="1" applyBorder="1" applyAlignment="1">
      <alignment horizontal="right" vertical="center" wrapText="1" readingOrder="2"/>
    </xf>
    <xf numFmtId="0" fontId="14" fillId="2" borderId="0" xfId="0" applyFont="1" applyFill="1" applyAlignment="1">
      <alignment horizontal="right" vertical="center" wrapText="1" readingOrder="2"/>
    </xf>
    <xf numFmtId="0" fontId="14" fillId="2" borderId="11" xfId="0" applyFont="1" applyFill="1" applyBorder="1" applyAlignment="1">
      <alignment horizontal="right" vertical="center" wrapText="1" readingOrder="2"/>
    </xf>
    <xf numFmtId="0" fontId="14" fillId="0" borderId="10" xfId="0" applyFont="1" applyBorder="1" applyAlignment="1">
      <alignment horizontal="right" vertical="center" wrapText="1" readingOrder="2"/>
    </xf>
    <xf numFmtId="0" fontId="14" fillId="0" borderId="0" xfId="0" applyFont="1" applyAlignment="1">
      <alignment horizontal="right" vertical="center" wrapText="1" readingOrder="2"/>
    </xf>
    <xf numFmtId="0" fontId="14" fillId="0" borderId="11" xfId="0" applyFont="1" applyBorder="1" applyAlignment="1">
      <alignment horizontal="right" vertical="center" wrapText="1" readingOrder="2"/>
    </xf>
    <xf numFmtId="165" fontId="25" fillId="6" borderId="19" xfId="2" applyNumberFormat="1" applyFont="1" applyFill="1" applyBorder="1" applyAlignment="1" applyProtection="1">
      <alignment wrapText="1"/>
      <protection locked="0"/>
    </xf>
    <xf numFmtId="165" fontId="25" fillId="6" borderId="21" xfId="2" applyNumberFormat="1" applyFont="1" applyFill="1" applyBorder="1" applyAlignment="1" applyProtection="1">
      <alignment wrapText="1"/>
      <protection locked="0"/>
    </xf>
    <xf numFmtId="165" fontId="25" fillId="6" borderId="20" xfId="2" applyNumberFormat="1" applyFont="1" applyFill="1" applyBorder="1" applyAlignment="1" applyProtection="1">
      <alignment wrapText="1"/>
      <protection locked="0"/>
    </xf>
    <xf numFmtId="0" fontId="0" fillId="0" borderId="21" xfId="0" applyBorder="1" applyAlignment="1" applyProtection="1">
      <alignment wrapText="1"/>
      <protection locked="0"/>
    </xf>
    <xf numFmtId="0" fontId="0" fillId="0" borderId="20" xfId="0" applyBorder="1" applyAlignment="1" applyProtection="1">
      <alignment wrapText="1"/>
      <protection locked="0"/>
    </xf>
  </cellXfs>
  <cellStyles count="7">
    <cellStyle name="Comma" xfId="2" builtinId="3"/>
    <cellStyle name="Currency" xfId="5" builtinId="4"/>
    <cellStyle name="Hyperlink 2" xfId="4"/>
    <cellStyle name="Normal" xfId="0" builtinId="0"/>
    <cellStyle name="Normal 2" xfId="6"/>
    <cellStyle name="Percent" xfId="3" builtinId="5"/>
    <cellStyle name="היפר-קישור" xfId="1" builtinId="8"/>
  </cellStyles>
  <dxfs count="26">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485775</xdr:colOff>
      <xdr:row>2</xdr:row>
      <xdr:rowOff>38100</xdr:rowOff>
    </xdr:from>
    <xdr:to>
      <xdr:col>12</xdr:col>
      <xdr:colOff>704849</xdr:colOff>
      <xdr:row>7</xdr:row>
      <xdr:rowOff>173355</xdr:rowOff>
    </xdr:to>
    <xdr:pic>
      <xdr:nvPicPr>
        <xdr:cNvPr id="3" name="תמונה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7412776" y="428625"/>
          <a:ext cx="1590674" cy="1485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1319893</xdr:colOff>
      <xdr:row>0</xdr:row>
      <xdr:rowOff>77392</xdr:rowOff>
    </xdr:from>
    <xdr:to>
      <xdr:col>4</xdr:col>
      <xdr:colOff>0</xdr:colOff>
      <xdr:row>7</xdr:row>
      <xdr:rowOff>76201</xdr:rowOff>
    </xdr:to>
    <xdr:pic>
      <xdr:nvPicPr>
        <xdr:cNvPr id="2" name="תמונה 2">
          <a:extLst>
            <a:ext uri="{FF2B5EF4-FFF2-40B4-BE49-F238E27FC236}">
              <a16:creationId xmlns:a16="http://schemas.microsoft.com/office/drawing/2014/main" id="{541E8D06-9A72-4D44-AB49-D73324FBBAD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55692500" y="77392"/>
          <a:ext cx="1489982" cy="1400345"/>
        </a:xfrm>
        <a:prstGeom prst="rect">
          <a:avLst/>
        </a:prstGeom>
        <a:noFill/>
        <a:ln>
          <a:noFill/>
        </a:ln>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10"/>
  <sheetViews>
    <sheetView rightToLeft="1" zoomScale="140" zoomScaleNormal="140" workbookViewId="0">
      <selection activeCell="A18" sqref="A18"/>
    </sheetView>
  </sheetViews>
  <sheetFormatPr defaultColWidth="9" defaultRowHeight="15" x14ac:dyDescent="0.25"/>
  <cols>
    <col min="1" max="1" width="28.625" style="43" customWidth="1"/>
    <col min="2" max="2" width="7.125" style="43" customWidth="1"/>
    <col min="3" max="3" width="42.125" style="43" bestFit="1" customWidth="1"/>
    <col min="4" max="16384" width="9" style="43"/>
  </cols>
  <sheetData>
    <row r="1" spans="1:2" x14ac:dyDescent="0.25">
      <c r="A1" s="347" t="s">
        <v>0</v>
      </c>
    </row>
    <row r="2" spans="1:2" ht="18.75" x14ac:dyDescent="0.3">
      <c r="A2" s="65" t="s">
        <v>1</v>
      </c>
    </row>
    <row r="3" spans="1:2" x14ac:dyDescent="0.25">
      <c r="A3" s="43" t="s">
        <v>2</v>
      </c>
    </row>
    <row r="4" spans="1:2" x14ac:dyDescent="0.25">
      <c r="A4" s="43" t="s">
        <v>3</v>
      </c>
    </row>
    <row r="5" spans="1:2" x14ac:dyDescent="0.25">
      <c r="A5" s="43" t="s">
        <v>4</v>
      </c>
      <c r="B5" s="43" t="s">
        <v>5</v>
      </c>
    </row>
    <row r="6" spans="1:2" x14ac:dyDescent="0.25">
      <c r="B6" s="43" t="s">
        <v>6</v>
      </c>
    </row>
    <row r="7" spans="1:2" x14ac:dyDescent="0.25">
      <c r="A7" s="43" t="s">
        <v>7</v>
      </c>
    </row>
    <row r="8" spans="1:2" x14ac:dyDescent="0.25">
      <c r="B8" s="43" t="s">
        <v>8</v>
      </c>
    </row>
    <row r="9" spans="1:2" x14ac:dyDescent="0.25">
      <c r="B9" s="43" t="s">
        <v>9</v>
      </c>
    </row>
    <row r="10" spans="1:2" x14ac:dyDescent="0.25">
      <c r="B10" s="43" t="s">
        <v>10</v>
      </c>
    </row>
  </sheetDat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rightToLeft="1" zoomScaleNormal="100" workbookViewId="0">
      <pane xSplit="3" ySplit="5" topLeftCell="D6" activePane="bottomRight" state="frozen"/>
      <selection pane="topRight" activeCell="D1" sqref="D1"/>
      <selection pane="bottomLeft" activeCell="A5" sqref="A5"/>
      <selection pane="bottomRight"/>
    </sheetView>
  </sheetViews>
  <sheetFormatPr defaultColWidth="9" defaultRowHeight="15" x14ac:dyDescent="0.25"/>
  <cols>
    <col min="1" max="1" width="6.25" style="171" customWidth="1"/>
    <col min="2" max="2" width="15.25" style="170" customWidth="1"/>
    <col min="3" max="3" width="22.25" style="170" customWidth="1"/>
    <col min="4" max="4" width="17.75" style="170" customWidth="1"/>
    <col min="5" max="5" width="9.75" style="171" bestFit="1" customWidth="1"/>
    <col min="6" max="6" width="6.25" style="171" customWidth="1"/>
    <col min="7" max="7" width="12.875" style="171" customWidth="1"/>
    <col min="8" max="8" width="1.375" style="170" customWidth="1"/>
    <col min="9" max="9" width="7.375" style="171" customWidth="1"/>
    <col min="10" max="10" width="9.375" style="171" customWidth="1"/>
    <col min="11" max="11" width="8.375" style="170" customWidth="1"/>
    <col min="12" max="12" width="12.875" style="170" customWidth="1"/>
    <col min="13" max="13" width="8.625" style="170" customWidth="1"/>
    <col min="14" max="14" width="16.125" style="170" customWidth="1"/>
    <col min="15" max="15" width="3.5" style="170" customWidth="1"/>
    <col min="16" max="16384" width="9" style="170"/>
  </cols>
  <sheetData>
    <row r="1" spans="1:14" x14ac:dyDescent="0.25">
      <c r="A1" s="85" t="str">
        <f>'תוכן עניינים'!$B$7</f>
        <v xml:space="preserve">תקן ריהוט וציוד לדיור קהילתי </v>
      </c>
      <c r="E1" s="300" t="str">
        <f>'שאלון למילוי הגוף-חובה'!C39</f>
        <v>אנשים עם לקויות מוטוריות</v>
      </c>
      <c r="F1" s="301">
        <f>'שאלון למילוי הגוף-חובה'!D39</f>
        <v>0</v>
      </c>
      <c r="I1" s="142" t="s">
        <v>385</v>
      </c>
    </row>
    <row r="2" spans="1:14" x14ac:dyDescent="0.25">
      <c r="A2" s="172">
        <v>5</v>
      </c>
      <c r="B2" s="173" t="s">
        <v>416</v>
      </c>
      <c r="C2" s="173"/>
      <c r="D2" s="171"/>
      <c r="E2" s="300" t="str">
        <f>'שאלון למילוי הגוף-חובה'!C40</f>
        <v>אנשים עם לקויות חושיות</v>
      </c>
      <c r="F2" s="301">
        <f>'שאלון למילוי הגוף-חובה'!D40</f>
        <v>0</v>
      </c>
    </row>
    <row r="3" spans="1:14" x14ac:dyDescent="0.25">
      <c r="A3" s="172"/>
      <c r="B3" s="173"/>
      <c r="C3" s="173"/>
      <c r="D3" s="171"/>
      <c r="E3" s="300" t="str">
        <f>'שאלון למילוי הגוף-חובה'!C41</f>
        <v>אנשים בתפקוד נמוך  ו/או התנהגות מאתגרת</v>
      </c>
      <c r="F3" s="301">
        <f>'שאלון למילוי הגוף-חובה'!D41</f>
        <v>0</v>
      </c>
    </row>
    <row r="4" spans="1:14" x14ac:dyDescent="0.25">
      <c r="A4" s="241"/>
      <c r="B4" s="242"/>
      <c r="C4" s="242" t="s">
        <v>199</v>
      </c>
      <c r="D4" s="242"/>
      <c r="E4" s="291"/>
      <c r="F4" s="242"/>
      <c r="G4" s="243"/>
      <c r="H4" s="238"/>
      <c r="I4" s="174" t="s">
        <v>200</v>
      </c>
      <c r="J4" s="175"/>
      <c r="K4" s="175"/>
      <c r="L4" s="175"/>
      <c r="M4" s="175"/>
      <c r="N4" s="176"/>
    </row>
    <row r="5" spans="1:14" ht="30" x14ac:dyDescent="0.25">
      <c r="A5" s="222" t="s">
        <v>201</v>
      </c>
      <c r="B5" s="177" t="s">
        <v>202</v>
      </c>
      <c r="C5" s="149" t="s">
        <v>203</v>
      </c>
      <c r="D5" s="149" t="s">
        <v>204</v>
      </c>
      <c r="E5" s="149" t="s">
        <v>236</v>
      </c>
      <c r="F5" s="213" t="s">
        <v>237</v>
      </c>
      <c r="G5" s="149" t="s">
        <v>238</v>
      </c>
      <c r="H5" s="238"/>
      <c r="I5" s="178" t="s">
        <v>208</v>
      </c>
      <c r="J5" s="178" t="s">
        <v>209</v>
      </c>
      <c r="K5" s="179" t="s">
        <v>210</v>
      </c>
      <c r="L5" s="149" t="s">
        <v>211</v>
      </c>
      <c r="M5" s="149" t="s">
        <v>212</v>
      </c>
      <c r="N5" s="149" t="s">
        <v>213</v>
      </c>
    </row>
    <row r="6" spans="1:14" x14ac:dyDescent="0.25">
      <c r="A6" s="147">
        <v>5.0999999999999996</v>
      </c>
      <c r="B6" s="180" t="s">
        <v>417</v>
      </c>
      <c r="C6" s="181" t="s">
        <v>418</v>
      </c>
      <c r="D6" s="149"/>
      <c r="E6" s="182">
        <v>12000</v>
      </c>
      <c r="F6" s="183">
        <v>1</v>
      </c>
      <c r="G6" s="182">
        <f>E6*F6</f>
        <v>12000</v>
      </c>
      <c r="I6" s="49"/>
      <c r="J6" s="182">
        <f t="shared" ref="J6:J23" si="0">IF(G6=0,0,I6*E6)</f>
        <v>0</v>
      </c>
      <c r="K6" s="184" t="str">
        <f t="shared" ref="K6" si="1">IF(J6=0,"",IF(OR(J6-$G6&gt;0,J6-$G6&lt;0), (J6-$G6)/$G6, ""))</f>
        <v/>
      </c>
      <c r="L6" s="42" t="str">
        <f>IF(I6&gt;F6,"יש להסביר חריגה","")</f>
        <v/>
      </c>
      <c r="M6" s="46"/>
      <c r="N6" s="46"/>
    </row>
    <row r="7" spans="1:14" x14ac:dyDescent="0.25">
      <c r="A7" s="147">
        <v>5.2</v>
      </c>
      <c r="B7" s="185" t="s">
        <v>419</v>
      </c>
      <c r="C7" s="181" t="s">
        <v>420</v>
      </c>
      <c r="D7" s="149"/>
      <c r="E7" s="182">
        <v>9000</v>
      </c>
      <c r="F7" s="183">
        <v>1</v>
      </c>
      <c r="G7" s="182">
        <f t="shared" ref="G7:G18" si="2">E7*F7</f>
        <v>9000</v>
      </c>
      <c r="I7" s="49"/>
      <c r="J7" s="182">
        <f t="shared" si="0"/>
        <v>0</v>
      </c>
      <c r="K7" s="184" t="str">
        <f t="shared" ref="K7:K16" si="3">IF(J7=0,"",IF(OR(J7-$G7&gt;0,J7-$G7&lt;0), (J7-$G7)/$G7, ""))</f>
        <v/>
      </c>
      <c r="L7" s="42" t="str">
        <f t="shared" ref="L7:L23" si="4">IF(I7&gt;F7,"יש להסביר חריגה","")</f>
        <v/>
      </c>
      <c r="M7" s="46"/>
      <c r="N7" s="46"/>
    </row>
    <row r="8" spans="1:14" x14ac:dyDescent="0.25">
      <c r="A8" s="147">
        <v>5.3</v>
      </c>
      <c r="B8" s="185"/>
      <c r="C8" s="181" t="s">
        <v>421</v>
      </c>
      <c r="D8" s="149"/>
      <c r="E8" s="182">
        <v>6000</v>
      </c>
      <c r="F8" s="183">
        <v>1</v>
      </c>
      <c r="G8" s="182">
        <f t="shared" si="2"/>
        <v>6000</v>
      </c>
      <c r="I8" s="49"/>
      <c r="J8" s="182">
        <f t="shared" si="0"/>
        <v>0</v>
      </c>
      <c r="K8" s="184" t="str">
        <f t="shared" si="3"/>
        <v/>
      </c>
      <c r="L8" s="42" t="str">
        <f t="shared" si="4"/>
        <v/>
      </c>
      <c r="M8" s="46"/>
      <c r="N8" s="46"/>
    </row>
    <row r="9" spans="1:14" x14ac:dyDescent="0.25">
      <c r="A9" s="147">
        <v>5.4</v>
      </c>
      <c r="B9" s="185"/>
      <c r="C9" s="186" t="s">
        <v>422</v>
      </c>
      <c r="D9" s="149"/>
      <c r="E9" s="182">
        <v>2500</v>
      </c>
      <c r="F9" s="183">
        <v>1</v>
      </c>
      <c r="G9" s="182">
        <f t="shared" si="2"/>
        <v>2500</v>
      </c>
      <c r="I9" s="49"/>
      <c r="J9" s="182">
        <f t="shared" si="0"/>
        <v>0</v>
      </c>
      <c r="K9" s="184" t="str">
        <f t="shared" si="3"/>
        <v/>
      </c>
      <c r="L9" s="42" t="str">
        <f t="shared" si="4"/>
        <v/>
      </c>
      <c r="M9" s="46"/>
      <c r="N9" s="46"/>
    </row>
    <row r="10" spans="1:14" x14ac:dyDescent="0.25">
      <c r="A10" s="147">
        <v>5.5</v>
      </c>
      <c r="B10" s="185"/>
      <c r="C10" s="181" t="s">
        <v>423</v>
      </c>
      <c r="D10" s="149"/>
      <c r="E10" s="182">
        <v>25000</v>
      </c>
      <c r="F10" s="183">
        <v>1</v>
      </c>
      <c r="G10" s="182">
        <f t="shared" si="2"/>
        <v>25000</v>
      </c>
      <c r="I10" s="49"/>
      <c r="J10" s="182">
        <f t="shared" si="0"/>
        <v>0</v>
      </c>
      <c r="K10" s="184" t="str">
        <f t="shared" si="3"/>
        <v/>
      </c>
      <c r="L10" s="42" t="str">
        <f t="shared" si="4"/>
        <v/>
      </c>
      <c r="M10" s="46"/>
      <c r="N10" s="46"/>
    </row>
    <row r="11" spans="1:14" x14ac:dyDescent="0.25">
      <c r="A11" s="147">
        <v>5.6</v>
      </c>
      <c r="B11" s="185"/>
      <c r="C11" s="181" t="s">
        <v>424</v>
      </c>
      <c r="D11" s="149" t="s">
        <v>425</v>
      </c>
      <c r="E11" s="182">
        <v>4200</v>
      </c>
      <c r="F11" s="183">
        <v>1</v>
      </c>
      <c r="G11" s="182">
        <f t="shared" si="2"/>
        <v>4200</v>
      </c>
      <c r="I11" s="49"/>
      <c r="J11" s="182">
        <f t="shared" si="0"/>
        <v>0</v>
      </c>
      <c r="K11" s="184" t="str">
        <f t="shared" si="3"/>
        <v/>
      </c>
      <c r="L11" s="42" t="str">
        <f t="shared" si="4"/>
        <v/>
      </c>
      <c r="M11" s="46"/>
      <c r="N11" s="46"/>
    </row>
    <row r="12" spans="1:14" x14ac:dyDescent="0.25">
      <c r="A12" s="147">
        <v>5.7</v>
      </c>
      <c r="B12" s="185"/>
      <c r="C12" s="181" t="s">
        <v>426</v>
      </c>
      <c r="D12" s="149"/>
      <c r="E12" s="182">
        <v>1200</v>
      </c>
      <c r="F12" s="183">
        <v>1</v>
      </c>
      <c r="G12" s="182">
        <f t="shared" si="2"/>
        <v>1200</v>
      </c>
      <c r="I12" s="49"/>
      <c r="J12" s="182">
        <f t="shared" si="0"/>
        <v>0</v>
      </c>
      <c r="K12" s="184" t="str">
        <f t="shared" si="3"/>
        <v/>
      </c>
      <c r="L12" s="42" t="str">
        <f t="shared" si="4"/>
        <v/>
      </c>
      <c r="M12" s="46"/>
      <c r="N12" s="46"/>
    </row>
    <row r="13" spans="1:14" x14ac:dyDescent="0.25">
      <c r="A13" s="147">
        <v>5.8</v>
      </c>
      <c r="B13" s="187"/>
      <c r="C13" s="181" t="s">
        <v>427</v>
      </c>
      <c r="D13" s="149"/>
      <c r="E13" s="182">
        <v>1000</v>
      </c>
      <c r="F13" s="183">
        <v>1</v>
      </c>
      <c r="G13" s="182">
        <f t="shared" si="2"/>
        <v>1000</v>
      </c>
      <c r="I13" s="49"/>
      <c r="J13" s="182">
        <f t="shared" si="0"/>
        <v>0</v>
      </c>
      <c r="K13" s="184" t="str">
        <f t="shared" si="3"/>
        <v/>
      </c>
      <c r="L13" s="42" t="str">
        <f t="shared" si="4"/>
        <v/>
      </c>
      <c r="M13" s="46"/>
      <c r="N13" s="46"/>
    </row>
    <row r="14" spans="1:14" ht="30" x14ac:dyDescent="0.25">
      <c r="A14" s="147">
        <v>5.9</v>
      </c>
      <c r="B14" s="180" t="s">
        <v>428</v>
      </c>
      <c r="C14" s="188" t="s">
        <v>429</v>
      </c>
      <c r="D14" s="149"/>
      <c r="E14" s="59">
        <v>4000</v>
      </c>
      <c r="F14" s="183">
        <v>1</v>
      </c>
      <c r="G14" s="182">
        <f t="shared" si="2"/>
        <v>4000</v>
      </c>
      <c r="I14" s="49"/>
      <c r="J14" s="182">
        <f t="shared" si="0"/>
        <v>0</v>
      </c>
      <c r="K14" s="184" t="str">
        <f t="shared" si="3"/>
        <v/>
      </c>
      <c r="L14" s="42" t="str">
        <f t="shared" si="4"/>
        <v/>
      </c>
      <c r="M14" s="46"/>
      <c r="N14" s="46"/>
    </row>
    <row r="15" spans="1:14" x14ac:dyDescent="0.25">
      <c r="A15" s="189">
        <v>5.0999999999999996</v>
      </c>
      <c r="B15" s="190" t="s">
        <v>417</v>
      </c>
      <c r="C15" s="188" t="s">
        <v>430</v>
      </c>
      <c r="D15" s="149"/>
      <c r="E15" s="59">
        <v>14000</v>
      </c>
      <c r="F15" s="183">
        <v>1</v>
      </c>
      <c r="G15" s="182">
        <f t="shared" si="2"/>
        <v>14000</v>
      </c>
      <c r="I15" s="49"/>
      <c r="J15" s="182">
        <f t="shared" si="0"/>
        <v>0</v>
      </c>
      <c r="K15" s="184" t="str">
        <f t="shared" si="3"/>
        <v/>
      </c>
      <c r="L15" s="42" t="str">
        <f t="shared" si="4"/>
        <v/>
      </c>
      <c r="M15" s="46"/>
      <c r="N15" s="46"/>
    </row>
    <row r="16" spans="1:14" x14ac:dyDescent="0.25">
      <c r="A16" s="189">
        <v>5.1100000000000003</v>
      </c>
      <c r="B16" s="191" t="s">
        <v>431</v>
      </c>
      <c r="C16" s="188" t="s">
        <v>432</v>
      </c>
      <c r="D16" s="149"/>
      <c r="E16" s="59">
        <v>1000</v>
      </c>
      <c r="F16" s="183">
        <v>1</v>
      </c>
      <c r="G16" s="182">
        <f t="shared" si="2"/>
        <v>1000</v>
      </c>
      <c r="I16" s="49"/>
      <c r="J16" s="182">
        <f t="shared" si="0"/>
        <v>0</v>
      </c>
      <c r="K16" s="184" t="str">
        <f t="shared" si="3"/>
        <v/>
      </c>
      <c r="L16" s="42" t="str">
        <f t="shared" si="4"/>
        <v/>
      </c>
      <c r="M16" s="46"/>
      <c r="N16" s="46"/>
    </row>
    <row r="17" spans="1:15" x14ac:dyDescent="0.25">
      <c r="A17" s="189">
        <v>5.12</v>
      </c>
      <c r="B17" s="191"/>
      <c r="C17" s="188" t="s">
        <v>433</v>
      </c>
      <c r="D17" s="149"/>
      <c r="E17" s="59">
        <v>3000</v>
      </c>
      <c r="F17" s="183">
        <v>1</v>
      </c>
      <c r="G17" s="182">
        <f t="shared" si="2"/>
        <v>3000</v>
      </c>
      <c r="I17" s="49"/>
      <c r="J17" s="182">
        <f t="shared" si="0"/>
        <v>0</v>
      </c>
      <c r="K17" s="184" t="str">
        <f t="shared" ref="K17:K18" si="5">IF(J17=0,"",IF(OR(J17-$G17&gt;0,J17-$G17&lt;0), (J17-$G17)/$G17, ""))</f>
        <v/>
      </c>
      <c r="L17" s="42" t="str">
        <f t="shared" si="4"/>
        <v/>
      </c>
      <c r="M17" s="46"/>
      <c r="N17" s="46"/>
    </row>
    <row r="18" spans="1:15" s="193" customFormat="1" x14ac:dyDescent="0.25">
      <c r="A18" s="189">
        <v>5.13</v>
      </c>
      <c r="B18" s="192"/>
      <c r="C18" s="188" t="s">
        <v>434</v>
      </c>
      <c r="D18" s="149"/>
      <c r="E18" s="59">
        <v>19000</v>
      </c>
      <c r="F18" s="183">
        <v>1</v>
      </c>
      <c r="G18" s="182">
        <f t="shared" si="2"/>
        <v>19000</v>
      </c>
      <c r="H18" s="170"/>
      <c r="I18" s="49"/>
      <c r="J18" s="182">
        <f t="shared" si="0"/>
        <v>0</v>
      </c>
      <c r="K18" s="184" t="str">
        <f t="shared" si="5"/>
        <v/>
      </c>
      <c r="L18" s="42" t="str">
        <f t="shared" si="4"/>
        <v/>
      </c>
      <c r="M18" s="46"/>
      <c r="N18" s="46"/>
      <c r="O18" s="170"/>
    </row>
    <row r="19" spans="1:15" x14ac:dyDescent="0.25">
      <c r="A19" s="189">
        <v>5.14</v>
      </c>
      <c r="B19" s="180" t="s">
        <v>435</v>
      </c>
      <c r="C19" s="194" t="str">
        <f>'חדרי שינה'!C5</f>
        <v>ארון</v>
      </c>
      <c r="D19" s="149" t="s">
        <v>436</v>
      </c>
      <c r="E19" s="182">
        <f>'חדרי שינה'!E5*1.3</f>
        <v>3900</v>
      </c>
      <c r="F19" s="183">
        <v>1</v>
      </c>
      <c r="G19" s="182">
        <f t="shared" ref="G19:G23" si="6">E19*F19</f>
        <v>3900</v>
      </c>
      <c r="I19" s="49"/>
      <c r="J19" s="182">
        <f t="shared" si="0"/>
        <v>0</v>
      </c>
      <c r="K19" s="184" t="str">
        <f t="shared" ref="K19" si="7">IF(J19=0,"",IF(OR(J19-$G19&gt;0,J19-$G19&lt;0), (J19-$G19)/$G19, ""))</f>
        <v/>
      </c>
      <c r="L19" s="42" t="str">
        <f t="shared" si="4"/>
        <v/>
      </c>
      <c r="M19" s="46"/>
      <c r="N19" s="46"/>
    </row>
    <row r="20" spans="1:15" x14ac:dyDescent="0.25">
      <c r="A20" s="189">
        <v>5.15</v>
      </c>
      <c r="B20" s="195"/>
      <c r="C20" s="194" t="str">
        <f>'חדרי שינה'!C6</f>
        <v>שולחן + 2 כיסאות</v>
      </c>
      <c r="D20" s="149" t="s">
        <v>436</v>
      </c>
      <c r="E20" s="182">
        <f>'חדרי שינה'!E6*1.3</f>
        <v>4550</v>
      </c>
      <c r="F20" s="183">
        <v>1</v>
      </c>
      <c r="G20" s="182">
        <f t="shared" si="6"/>
        <v>4550</v>
      </c>
      <c r="I20" s="49"/>
      <c r="J20" s="182">
        <f t="shared" si="0"/>
        <v>0</v>
      </c>
      <c r="K20" s="184" t="str">
        <f t="shared" ref="K20:K23" si="8">IF(J20=0,"",IF(OR(J20-$G20&gt;0,J20-$G20&lt;0), (J20-$G20)/$G20, ""))</f>
        <v/>
      </c>
      <c r="L20" s="42" t="str">
        <f t="shared" si="4"/>
        <v/>
      </c>
      <c r="M20" s="46"/>
      <c r="N20" s="46"/>
    </row>
    <row r="21" spans="1:15" x14ac:dyDescent="0.25">
      <c r="A21" s="189">
        <v>5.16</v>
      </c>
      <c r="B21" s="195"/>
      <c r="C21" s="194" t="str">
        <f>'חדרי שינה'!C7</f>
        <v>מיטה  + ארגז מצעים</v>
      </c>
      <c r="D21" s="149" t="s">
        <v>436</v>
      </c>
      <c r="E21" s="182">
        <f>'חדרי שינה'!E7*1.3</f>
        <v>4550</v>
      </c>
      <c r="F21" s="183">
        <v>1</v>
      </c>
      <c r="G21" s="182">
        <f t="shared" si="6"/>
        <v>4550</v>
      </c>
      <c r="I21" s="49"/>
      <c r="J21" s="182">
        <f t="shared" si="0"/>
        <v>0</v>
      </c>
      <c r="K21" s="184" t="str">
        <f t="shared" si="8"/>
        <v/>
      </c>
      <c r="L21" s="42" t="str">
        <f t="shared" si="4"/>
        <v/>
      </c>
      <c r="M21" s="46"/>
      <c r="N21" s="46"/>
    </row>
    <row r="22" spans="1:15" x14ac:dyDescent="0.25">
      <c r="A22" s="189">
        <v>5.17</v>
      </c>
      <c r="B22" s="195"/>
      <c r="C22" s="194" t="str">
        <f>'חדרי שינה'!C8</f>
        <v>ארונית ליד המיטה</v>
      </c>
      <c r="D22" s="149" t="s">
        <v>436</v>
      </c>
      <c r="E22" s="182">
        <f>'חדרי שינה'!E8*1.3</f>
        <v>1300</v>
      </c>
      <c r="F22" s="183">
        <v>1</v>
      </c>
      <c r="G22" s="182">
        <f t="shared" si="6"/>
        <v>1300</v>
      </c>
      <c r="I22" s="49"/>
      <c r="J22" s="182">
        <f t="shared" si="0"/>
        <v>0</v>
      </c>
      <c r="K22" s="184" t="str">
        <f t="shared" si="8"/>
        <v/>
      </c>
      <c r="L22" s="42" t="str">
        <f t="shared" si="4"/>
        <v/>
      </c>
      <c r="M22" s="46"/>
      <c r="N22" s="46"/>
    </row>
    <row r="23" spans="1:15" x14ac:dyDescent="0.25">
      <c r="A23" s="189">
        <v>5.1800000000000104</v>
      </c>
      <c r="B23" s="196"/>
      <c r="C23" s="181" t="s">
        <v>437</v>
      </c>
      <c r="D23" s="181"/>
      <c r="E23" s="182">
        <v>15000</v>
      </c>
      <c r="F23" s="183">
        <v>1</v>
      </c>
      <c r="G23" s="182">
        <f t="shared" si="6"/>
        <v>15000</v>
      </c>
      <c r="I23" s="49"/>
      <c r="J23" s="182">
        <f t="shared" si="0"/>
        <v>0</v>
      </c>
      <c r="K23" s="184" t="str">
        <f t="shared" si="8"/>
        <v/>
      </c>
      <c r="L23" s="42" t="str">
        <f t="shared" si="4"/>
        <v/>
      </c>
      <c r="M23" s="46"/>
      <c r="N23" s="46"/>
    </row>
    <row r="24" spans="1:15" s="204" customFormat="1" ht="14.25" x14ac:dyDescent="0.2">
      <c r="A24" s="197" t="s">
        <v>438</v>
      </c>
      <c r="B24" s="198"/>
      <c r="C24" s="199"/>
      <c r="D24" s="200"/>
      <c r="E24" s="201"/>
      <c r="F24" s="202"/>
      <c r="G24" s="203">
        <f>SUM(G6:G23)</f>
        <v>131200</v>
      </c>
      <c r="I24" s="203"/>
      <c r="J24" s="203">
        <f>SUM(J6:J23)</f>
        <v>0</v>
      </c>
      <c r="K24" s="205" t="str">
        <f t="shared" ref="K24" si="9">IF(J24=0,"",IF(OR(J24-$G24&gt;0,J24-$G24&lt;0), (J24-$G24)/$G24, ""))</f>
        <v/>
      </c>
      <c r="L24" s="206" t="str">
        <f>A24</f>
        <v>סה"כ ציוד מ יוחד  כולל מע"מ</v>
      </c>
      <c r="M24" s="200"/>
      <c r="N24" s="207"/>
    </row>
  </sheetData>
  <sheetProtection algorithmName="SHA-512" hashValue="lj4gZaW1UAiKHraaJh4b8HZzEhz8X08MC1LqXYt3Ti8QMXMyoAvXlO+ndQVoEA6YZY6+KYJKtnFIH3P2PuoGWw==" saltValue="I1xQC7N5PVwRej4dHWNwgA==" spinCount="100000" sheet="1" formatCells="0" formatColumns="0" formatRows="0"/>
  <dataConsolidate/>
  <conditionalFormatting sqref="K6:K24">
    <cfRule type="cellIs" dxfId="0" priority="2" operator="greaterThan">
      <formula>0</formula>
    </cfRule>
  </conditionalFormatting>
  <dataValidations count="1">
    <dataValidation type="list" allowBlank="1" showInputMessage="1" showErrorMessage="1" sqref="M6:M23">
      <formula1>"מאושר, לא מאושר"</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rightToLeft="1" zoomScaleNormal="100" workbookViewId="0">
      <pane xSplit="8" ySplit="3" topLeftCell="I4" activePane="bottomRight" state="frozen"/>
      <selection pane="topRight" activeCell="I1" sqref="I1"/>
      <selection pane="bottomLeft" activeCell="A4" sqref="A4"/>
      <selection pane="bottomRight"/>
    </sheetView>
  </sheetViews>
  <sheetFormatPr defaultColWidth="9" defaultRowHeight="14.25" x14ac:dyDescent="0.2"/>
  <cols>
    <col min="1" max="1" width="4.625" customWidth="1"/>
    <col min="2" max="2" width="14" customWidth="1"/>
    <col min="3" max="3" width="13.875" customWidth="1"/>
    <col min="4" max="4" width="11.375" customWidth="1"/>
    <col min="6" max="6" width="9" customWidth="1"/>
    <col min="7" max="7" width="10.25" customWidth="1"/>
    <col min="8" max="8" width="15.5" customWidth="1"/>
    <col min="9" max="9" width="1.5" customWidth="1"/>
    <col min="10" max="10" width="10.125" customWidth="1"/>
    <col min="11" max="11" width="11.25" style="143" customWidth="1"/>
    <col min="12" max="12" width="10.5" style="144" customWidth="1"/>
    <col min="13" max="13" width="26.25" customWidth="1"/>
  </cols>
  <sheetData>
    <row r="1" spans="1:13" x14ac:dyDescent="0.2">
      <c r="A1" s="85" t="str">
        <f>'תוכן עניינים'!$B$7</f>
        <v xml:space="preserve">תקן ריהוט וציוד לדיור קהילתי </v>
      </c>
      <c r="J1" s="142" t="s">
        <v>385</v>
      </c>
    </row>
    <row r="2" spans="1:13" ht="15" x14ac:dyDescent="0.25">
      <c r="A2" s="1">
        <v>6</v>
      </c>
      <c r="B2" s="145" t="s">
        <v>439</v>
      </c>
      <c r="C2" s="43"/>
      <c r="E2" s="43"/>
      <c r="F2" s="43"/>
      <c r="G2" s="43"/>
      <c r="H2" s="43"/>
      <c r="I2" s="43"/>
      <c r="J2" s="43"/>
      <c r="K2" s="43"/>
      <c r="L2" s="43"/>
      <c r="M2" s="43"/>
    </row>
    <row r="3" spans="1:13" ht="45" x14ac:dyDescent="0.25">
      <c r="A3" s="161" t="s">
        <v>201</v>
      </c>
      <c r="B3" s="148" t="s">
        <v>440</v>
      </c>
      <c r="C3" s="148" t="s">
        <v>441</v>
      </c>
      <c r="D3" s="148" t="s">
        <v>442</v>
      </c>
      <c r="E3" s="148" t="s">
        <v>208</v>
      </c>
      <c r="F3" s="148" t="s">
        <v>443</v>
      </c>
      <c r="G3" s="148" t="s">
        <v>444</v>
      </c>
      <c r="H3" s="148" t="s">
        <v>211</v>
      </c>
      <c r="I3" s="43"/>
      <c r="J3" s="149" t="s">
        <v>445</v>
      </c>
      <c r="K3" s="148" t="s">
        <v>446</v>
      </c>
      <c r="L3" s="150" t="s">
        <v>447</v>
      </c>
      <c r="M3" s="148" t="s">
        <v>213</v>
      </c>
    </row>
    <row r="4" spans="1:13" ht="15" x14ac:dyDescent="0.25">
      <c r="A4" s="162">
        <v>6.1</v>
      </c>
      <c r="B4" s="44"/>
      <c r="C4" s="44"/>
      <c r="D4" s="44"/>
      <c r="E4" s="44"/>
      <c r="F4" s="44"/>
      <c r="G4" s="45">
        <f>E4*F4</f>
        <v>0</v>
      </c>
      <c r="H4" s="44"/>
      <c r="I4" s="43"/>
      <c r="J4" s="46"/>
      <c r="K4" s="47" t="str">
        <f t="shared" ref="K4:K28" si="0">IF(ISBLANK(J4),"",IF(J4="מאשר",E4,""))</f>
        <v/>
      </c>
      <c r="L4" s="48" t="str">
        <f t="shared" ref="L4:L28" si="1">IFERROR(IF(J4="","",(MIN($F4:$F4))*K4),"")</f>
        <v/>
      </c>
      <c r="M4" s="46"/>
    </row>
    <row r="5" spans="1:13" ht="15" x14ac:dyDescent="0.25">
      <c r="A5" s="162">
        <v>6.2</v>
      </c>
      <c r="B5" s="44"/>
      <c r="C5" s="44"/>
      <c r="D5" s="44"/>
      <c r="E5" s="44"/>
      <c r="F5" s="44"/>
      <c r="G5" s="45">
        <f t="shared" ref="G5:G28" si="2">E5*F5</f>
        <v>0</v>
      </c>
      <c r="H5" s="44"/>
      <c r="I5" s="43"/>
      <c r="J5" s="46"/>
      <c r="K5" s="47" t="str">
        <f t="shared" si="0"/>
        <v/>
      </c>
      <c r="L5" s="48" t="str">
        <f t="shared" si="1"/>
        <v/>
      </c>
      <c r="M5" s="46"/>
    </row>
    <row r="6" spans="1:13" ht="15" x14ac:dyDescent="0.25">
      <c r="A6" s="162">
        <v>6.3</v>
      </c>
      <c r="B6" s="44"/>
      <c r="C6" s="44"/>
      <c r="D6" s="44"/>
      <c r="E6" s="44"/>
      <c r="F6" s="44"/>
      <c r="G6" s="45">
        <f t="shared" si="2"/>
        <v>0</v>
      </c>
      <c r="H6" s="44"/>
      <c r="I6" s="43"/>
      <c r="J6" s="46"/>
      <c r="K6" s="47" t="str">
        <f t="shared" si="0"/>
        <v/>
      </c>
      <c r="L6" s="48" t="str">
        <f t="shared" si="1"/>
        <v/>
      </c>
      <c r="M6" s="46"/>
    </row>
    <row r="7" spans="1:13" ht="15" x14ac:dyDescent="0.25">
      <c r="A7" s="162">
        <v>6.4</v>
      </c>
      <c r="B7" s="44"/>
      <c r="C7" s="44"/>
      <c r="D7" s="44"/>
      <c r="E7" s="44"/>
      <c r="F7" s="44"/>
      <c r="G7" s="45">
        <f t="shared" si="2"/>
        <v>0</v>
      </c>
      <c r="H7" s="44"/>
      <c r="I7" s="43"/>
      <c r="J7" s="46"/>
      <c r="K7" s="47" t="str">
        <f t="shared" si="0"/>
        <v/>
      </c>
      <c r="L7" s="48" t="str">
        <f t="shared" si="1"/>
        <v/>
      </c>
      <c r="M7" s="46"/>
    </row>
    <row r="8" spans="1:13" ht="15" x14ac:dyDescent="0.25">
      <c r="A8" s="162">
        <v>6.5</v>
      </c>
      <c r="B8" s="44"/>
      <c r="C8" s="44"/>
      <c r="D8" s="44"/>
      <c r="E8" s="44"/>
      <c r="F8" s="44"/>
      <c r="G8" s="45">
        <f t="shared" si="2"/>
        <v>0</v>
      </c>
      <c r="H8" s="44"/>
      <c r="I8" s="43"/>
      <c r="J8" s="46"/>
      <c r="K8" s="47" t="str">
        <f t="shared" si="0"/>
        <v/>
      </c>
      <c r="L8" s="48" t="str">
        <f t="shared" si="1"/>
        <v/>
      </c>
      <c r="M8" s="46"/>
    </row>
    <row r="9" spans="1:13" ht="15" x14ac:dyDescent="0.25">
      <c r="A9" s="162">
        <v>6.6</v>
      </c>
      <c r="B9" s="44"/>
      <c r="C9" s="44"/>
      <c r="D9" s="44"/>
      <c r="E9" s="44"/>
      <c r="F9" s="44"/>
      <c r="G9" s="45">
        <f t="shared" si="2"/>
        <v>0</v>
      </c>
      <c r="H9" s="44"/>
      <c r="I9" s="43"/>
      <c r="J9" s="46"/>
      <c r="K9" s="47" t="str">
        <f t="shared" si="0"/>
        <v/>
      </c>
      <c r="L9" s="48" t="str">
        <f t="shared" si="1"/>
        <v/>
      </c>
      <c r="M9" s="46"/>
    </row>
    <row r="10" spans="1:13" ht="15" x14ac:dyDescent="0.25">
      <c r="A10" s="162">
        <v>6.7</v>
      </c>
      <c r="B10" s="44"/>
      <c r="C10" s="44"/>
      <c r="D10" s="44"/>
      <c r="E10" s="44"/>
      <c r="F10" s="44"/>
      <c r="G10" s="45">
        <f t="shared" si="2"/>
        <v>0</v>
      </c>
      <c r="H10" s="44"/>
      <c r="I10" s="43"/>
      <c r="J10" s="46"/>
      <c r="K10" s="47" t="str">
        <f t="shared" si="0"/>
        <v/>
      </c>
      <c r="L10" s="48" t="str">
        <f t="shared" si="1"/>
        <v/>
      </c>
      <c r="M10" s="46"/>
    </row>
    <row r="11" spans="1:13" ht="15" x14ac:dyDescent="0.25">
      <c r="A11" s="162">
        <v>6.8</v>
      </c>
      <c r="B11" s="44"/>
      <c r="C11" s="44"/>
      <c r="D11" s="44"/>
      <c r="E11" s="44"/>
      <c r="F11" s="44"/>
      <c r="G11" s="45">
        <f t="shared" si="2"/>
        <v>0</v>
      </c>
      <c r="H11" s="44"/>
      <c r="I11" s="43"/>
      <c r="J11" s="46"/>
      <c r="K11" s="47" t="str">
        <f t="shared" si="0"/>
        <v/>
      </c>
      <c r="L11" s="48" t="str">
        <f t="shared" si="1"/>
        <v/>
      </c>
      <c r="M11" s="46"/>
    </row>
    <row r="12" spans="1:13" ht="15" x14ac:dyDescent="0.25">
      <c r="A12" s="162">
        <v>6.9</v>
      </c>
      <c r="B12" s="44"/>
      <c r="C12" s="44"/>
      <c r="D12" s="44"/>
      <c r="E12" s="44"/>
      <c r="F12" s="44"/>
      <c r="G12" s="45">
        <f t="shared" si="2"/>
        <v>0</v>
      </c>
      <c r="H12" s="44"/>
      <c r="I12" s="43"/>
      <c r="J12" s="46"/>
      <c r="K12" s="47" t="str">
        <f t="shared" si="0"/>
        <v/>
      </c>
      <c r="L12" s="48" t="str">
        <f t="shared" si="1"/>
        <v/>
      </c>
      <c r="M12" s="46"/>
    </row>
    <row r="13" spans="1:13" ht="15" x14ac:dyDescent="0.25">
      <c r="A13" s="152">
        <v>6.1</v>
      </c>
      <c r="B13" s="44"/>
      <c r="C13" s="44"/>
      <c r="D13" s="44"/>
      <c r="E13" s="44"/>
      <c r="F13" s="44"/>
      <c r="G13" s="45">
        <f t="shared" si="2"/>
        <v>0</v>
      </c>
      <c r="H13" s="44"/>
      <c r="I13" s="43"/>
      <c r="J13" s="46"/>
      <c r="K13" s="47" t="str">
        <f t="shared" si="0"/>
        <v/>
      </c>
      <c r="L13" s="48" t="str">
        <f t="shared" si="1"/>
        <v/>
      </c>
      <c r="M13" s="46"/>
    </row>
    <row r="14" spans="1:13" ht="15" x14ac:dyDescent="0.25">
      <c r="A14" s="152">
        <v>6.11</v>
      </c>
      <c r="B14" s="44"/>
      <c r="C14" s="44"/>
      <c r="D14" s="44"/>
      <c r="E14" s="44"/>
      <c r="F14" s="44"/>
      <c r="G14" s="45">
        <f t="shared" si="2"/>
        <v>0</v>
      </c>
      <c r="H14" s="44"/>
      <c r="I14" s="43"/>
      <c r="J14" s="46"/>
      <c r="K14" s="47" t="str">
        <f t="shared" si="0"/>
        <v/>
      </c>
      <c r="L14" s="48" t="str">
        <f t="shared" si="1"/>
        <v/>
      </c>
      <c r="M14" s="46"/>
    </row>
    <row r="15" spans="1:13" ht="15" x14ac:dyDescent="0.25">
      <c r="A15" s="152">
        <v>6.12</v>
      </c>
      <c r="B15" s="44"/>
      <c r="C15" s="44"/>
      <c r="D15" s="44"/>
      <c r="E15" s="44"/>
      <c r="F15" s="44"/>
      <c r="G15" s="45">
        <f t="shared" si="2"/>
        <v>0</v>
      </c>
      <c r="H15" s="44"/>
      <c r="I15" s="43"/>
      <c r="J15" s="46"/>
      <c r="K15" s="47" t="str">
        <f t="shared" si="0"/>
        <v/>
      </c>
      <c r="L15" s="48" t="str">
        <f t="shared" si="1"/>
        <v/>
      </c>
      <c r="M15" s="46"/>
    </row>
    <row r="16" spans="1:13" ht="15" x14ac:dyDescent="0.25">
      <c r="A16" s="152">
        <v>6.13</v>
      </c>
      <c r="B16" s="44"/>
      <c r="C16" s="44"/>
      <c r="D16" s="44"/>
      <c r="E16" s="44"/>
      <c r="F16" s="44"/>
      <c r="G16" s="45">
        <f t="shared" si="2"/>
        <v>0</v>
      </c>
      <c r="H16" s="44"/>
      <c r="I16" s="43"/>
      <c r="J16" s="46"/>
      <c r="K16" s="47" t="str">
        <f t="shared" si="0"/>
        <v/>
      </c>
      <c r="L16" s="48" t="str">
        <f t="shared" si="1"/>
        <v/>
      </c>
      <c r="M16" s="46"/>
    </row>
    <row r="17" spans="1:13" ht="15" x14ac:dyDescent="0.25">
      <c r="A17" s="152">
        <v>6.14</v>
      </c>
      <c r="B17" s="44"/>
      <c r="C17" s="44"/>
      <c r="D17" s="44"/>
      <c r="E17" s="44"/>
      <c r="F17" s="44"/>
      <c r="G17" s="45">
        <f t="shared" si="2"/>
        <v>0</v>
      </c>
      <c r="H17" s="44"/>
      <c r="I17" s="43"/>
      <c r="J17" s="46"/>
      <c r="K17" s="47" t="str">
        <f t="shared" si="0"/>
        <v/>
      </c>
      <c r="L17" s="48" t="str">
        <f t="shared" si="1"/>
        <v/>
      </c>
      <c r="M17" s="46"/>
    </row>
    <row r="18" spans="1:13" ht="15" x14ac:dyDescent="0.25">
      <c r="A18" s="152">
        <v>6.15</v>
      </c>
      <c r="B18" s="44"/>
      <c r="C18" s="44"/>
      <c r="D18" s="44"/>
      <c r="E18" s="44"/>
      <c r="F18" s="44"/>
      <c r="G18" s="45">
        <f t="shared" si="2"/>
        <v>0</v>
      </c>
      <c r="H18" s="44"/>
      <c r="I18" s="43"/>
      <c r="J18" s="46"/>
      <c r="K18" s="47" t="str">
        <f t="shared" si="0"/>
        <v/>
      </c>
      <c r="L18" s="48" t="str">
        <f t="shared" si="1"/>
        <v/>
      </c>
      <c r="M18" s="46"/>
    </row>
    <row r="19" spans="1:13" ht="15" x14ac:dyDescent="0.25">
      <c r="A19" s="152">
        <v>6.16</v>
      </c>
      <c r="B19" s="44"/>
      <c r="C19" s="44"/>
      <c r="D19" s="44"/>
      <c r="E19" s="44"/>
      <c r="F19" s="44"/>
      <c r="G19" s="45">
        <f t="shared" si="2"/>
        <v>0</v>
      </c>
      <c r="H19" s="44"/>
      <c r="I19" s="43"/>
      <c r="J19" s="46"/>
      <c r="K19" s="47" t="str">
        <f t="shared" si="0"/>
        <v/>
      </c>
      <c r="L19" s="48" t="str">
        <f t="shared" si="1"/>
        <v/>
      </c>
      <c r="M19" s="46"/>
    </row>
    <row r="20" spans="1:13" ht="15" x14ac:dyDescent="0.25">
      <c r="A20" s="152">
        <v>6.17</v>
      </c>
      <c r="B20" s="44"/>
      <c r="C20" s="44"/>
      <c r="D20" s="44"/>
      <c r="E20" s="44"/>
      <c r="F20" s="44"/>
      <c r="G20" s="45">
        <f t="shared" si="2"/>
        <v>0</v>
      </c>
      <c r="H20" s="44"/>
      <c r="I20" s="43"/>
      <c r="J20" s="46"/>
      <c r="K20" s="47" t="str">
        <f t="shared" si="0"/>
        <v/>
      </c>
      <c r="L20" s="48" t="str">
        <f t="shared" si="1"/>
        <v/>
      </c>
      <c r="M20" s="46"/>
    </row>
    <row r="21" spans="1:13" ht="15" x14ac:dyDescent="0.25">
      <c r="A21" s="152">
        <v>6.1800000000000104</v>
      </c>
      <c r="B21" s="44"/>
      <c r="C21" s="44"/>
      <c r="D21" s="44"/>
      <c r="E21" s="44"/>
      <c r="F21" s="44"/>
      <c r="G21" s="45">
        <f t="shared" si="2"/>
        <v>0</v>
      </c>
      <c r="H21" s="44"/>
      <c r="I21" s="43"/>
      <c r="J21" s="46"/>
      <c r="K21" s="47" t="str">
        <f t="shared" si="0"/>
        <v/>
      </c>
      <c r="L21" s="48" t="str">
        <f t="shared" si="1"/>
        <v/>
      </c>
      <c r="M21" s="46"/>
    </row>
    <row r="22" spans="1:13" ht="15" x14ac:dyDescent="0.25">
      <c r="A22" s="152">
        <v>6.1900000000000102</v>
      </c>
      <c r="B22" s="44"/>
      <c r="C22" s="44"/>
      <c r="D22" s="44"/>
      <c r="E22" s="44"/>
      <c r="F22" s="44"/>
      <c r="G22" s="45">
        <f t="shared" si="2"/>
        <v>0</v>
      </c>
      <c r="H22" s="44"/>
      <c r="I22" s="43"/>
      <c r="J22" s="46"/>
      <c r="K22" s="47" t="str">
        <f t="shared" si="0"/>
        <v/>
      </c>
      <c r="L22" s="48" t="str">
        <f t="shared" si="1"/>
        <v/>
      </c>
      <c r="M22" s="46"/>
    </row>
    <row r="23" spans="1:13" ht="15" x14ac:dyDescent="0.25">
      <c r="A23" s="152">
        <v>6.2000000000000099</v>
      </c>
      <c r="B23" s="44"/>
      <c r="C23" s="44"/>
      <c r="D23" s="44"/>
      <c r="E23" s="44"/>
      <c r="F23" s="44"/>
      <c r="G23" s="45">
        <f t="shared" si="2"/>
        <v>0</v>
      </c>
      <c r="H23" s="44"/>
      <c r="I23" s="43"/>
      <c r="J23" s="46"/>
      <c r="K23" s="47" t="str">
        <f t="shared" si="0"/>
        <v/>
      </c>
      <c r="L23" s="48" t="str">
        <f t="shared" si="1"/>
        <v/>
      </c>
      <c r="M23" s="46"/>
    </row>
    <row r="24" spans="1:13" ht="15" x14ac:dyDescent="0.25">
      <c r="A24" s="152">
        <v>6.2100000000000097</v>
      </c>
      <c r="B24" s="44"/>
      <c r="C24" s="44"/>
      <c r="D24" s="44"/>
      <c r="E24" s="44"/>
      <c r="F24" s="44"/>
      <c r="G24" s="45">
        <f t="shared" si="2"/>
        <v>0</v>
      </c>
      <c r="H24" s="44"/>
      <c r="I24" s="43"/>
      <c r="J24" s="46"/>
      <c r="K24" s="47" t="str">
        <f t="shared" si="0"/>
        <v/>
      </c>
      <c r="L24" s="48" t="str">
        <f t="shared" si="1"/>
        <v/>
      </c>
      <c r="M24" s="46"/>
    </row>
    <row r="25" spans="1:13" ht="15" x14ac:dyDescent="0.25">
      <c r="A25" s="152">
        <v>6.2200000000000104</v>
      </c>
      <c r="B25" s="44"/>
      <c r="C25" s="44"/>
      <c r="D25" s="44"/>
      <c r="E25" s="44"/>
      <c r="F25" s="44"/>
      <c r="G25" s="45">
        <f t="shared" si="2"/>
        <v>0</v>
      </c>
      <c r="H25" s="44"/>
      <c r="I25" s="43"/>
      <c r="J25" s="46"/>
      <c r="K25" s="47" t="str">
        <f t="shared" si="0"/>
        <v/>
      </c>
      <c r="L25" s="48" t="str">
        <f t="shared" si="1"/>
        <v/>
      </c>
      <c r="M25" s="46"/>
    </row>
    <row r="26" spans="1:13" ht="15" x14ac:dyDescent="0.25">
      <c r="A26" s="152">
        <v>6.2300000000000102</v>
      </c>
      <c r="B26" s="44"/>
      <c r="C26" s="44"/>
      <c r="D26" s="44"/>
      <c r="E26" s="44"/>
      <c r="F26" s="44"/>
      <c r="G26" s="45">
        <f t="shared" si="2"/>
        <v>0</v>
      </c>
      <c r="H26" s="44"/>
      <c r="I26" s="43"/>
      <c r="J26" s="46"/>
      <c r="K26" s="47" t="str">
        <f t="shared" si="0"/>
        <v/>
      </c>
      <c r="L26" s="48" t="str">
        <f t="shared" si="1"/>
        <v/>
      </c>
      <c r="M26" s="46"/>
    </row>
    <row r="27" spans="1:13" ht="15" x14ac:dyDescent="0.25">
      <c r="A27" s="152">
        <v>6.24000000000001</v>
      </c>
      <c r="B27" s="44"/>
      <c r="C27" s="44"/>
      <c r="D27" s="44"/>
      <c r="E27" s="44"/>
      <c r="F27" s="44"/>
      <c r="G27" s="45">
        <f t="shared" si="2"/>
        <v>0</v>
      </c>
      <c r="H27" s="44"/>
      <c r="I27" s="43"/>
      <c r="J27" s="46"/>
      <c r="K27" s="47" t="str">
        <f t="shared" si="0"/>
        <v/>
      </c>
      <c r="L27" s="48" t="str">
        <f t="shared" si="1"/>
        <v/>
      </c>
      <c r="M27" s="46"/>
    </row>
    <row r="28" spans="1:13" ht="15" x14ac:dyDescent="0.25">
      <c r="A28" s="152">
        <v>6.2500000000000098</v>
      </c>
      <c r="B28" s="44"/>
      <c r="C28" s="44"/>
      <c r="D28" s="44"/>
      <c r="E28" s="44"/>
      <c r="F28" s="44"/>
      <c r="G28" s="45">
        <f t="shared" si="2"/>
        <v>0</v>
      </c>
      <c r="H28" s="44"/>
      <c r="I28" s="43"/>
      <c r="J28" s="46"/>
      <c r="K28" s="47" t="str">
        <f t="shared" si="0"/>
        <v/>
      </c>
      <c r="L28" s="48" t="str">
        <f t="shared" si="1"/>
        <v/>
      </c>
      <c r="M28" s="46"/>
    </row>
    <row r="29" spans="1:13" s="169" customFormat="1" ht="15" x14ac:dyDescent="0.25">
      <c r="A29" s="153" t="s">
        <v>448</v>
      </c>
      <c r="B29" s="163"/>
      <c r="C29" s="164"/>
      <c r="D29" s="164"/>
      <c r="E29" s="164"/>
      <c r="F29" s="164"/>
      <c r="G29" s="165">
        <f>SUM(G4:G28)</f>
        <v>0</v>
      </c>
      <c r="H29" s="166"/>
      <c r="I29" s="167"/>
      <c r="J29" s="166"/>
      <c r="K29" s="168"/>
      <c r="L29" s="166">
        <f>SUM(L4:L28)</f>
        <v>0</v>
      </c>
      <c r="M29" s="166" t="str">
        <f>A29</f>
        <v>סה"כ ציוד מתקנים אחרים כולל מע"מ</v>
      </c>
    </row>
  </sheetData>
  <sheetProtection algorithmName="SHA-512" hashValue="fJfgBzHJ5z+k9kEqc/HdbP1LsBUREbxiQ+YHTFIWtJzvpg1kDIlVKwc1MGaZKER5wEdiotjFbCZjOL2GY9uAbA==" saltValue="LG+47epO0QNKqvhT1Z+HOQ==" spinCount="100000" sheet="1" formatCells="0" formatColumns="0" formatRows="0"/>
  <dataValidations count="1">
    <dataValidation type="list" allowBlank="1" showInputMessage="1" showErrorMessage="1" sqref="J4:J28">
      <formula1>"מאשר, מאשר חלקי, לא מאשר"</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rightToLeft="1" zoomScaleNormal="100" workbookViewId="0">
      <pane xSplit="10" ySplit="3" topLeftCell="K4" activePane="bottomRight" state="frozen"/>
      <selection pane="topRight" activeCell="K1" sqref="K1"/>
      <selection pane="bottomLeft" activeCell="A4" sqref="A4"/>
      <selection pane="bottomRight"/>
    </sheetView>
  </sheetViews>
  <sheetFormatPr defaultColWidth="9" defaultRowHeight="14.25" x14ac:dyDescent="0.2"/>
  <cols>
    <col min="1" max="1" width="4.875" customWidth="1"/>
    <col min="2" max="2" width="12.375" customWidth="1"/>
    <col min="4" max="4" width="10.375" customWidth="1"/>
    <col min="6" max="6" width="9" customWidth="1"/>
    <col min="7" max="7" width="9.5" customWidth="1"/>
    <col min="8" max="8" width="10.125" customWidth="1"/>
    <col min="9" max="9" width="12.375" customWidth="1"/>
    <col min="10" max="10" width="11.875" customWidth="1"/>
    <col min="11" max="11" width="1.125" customWidth="1"/>
    <col min="12" max="12" width="8.875" customWidth="1"/>
    <col min="13" max="13" width="11.25" style="143" customWidth="1"/>
    <col min="14" max="14" width="9.25" style="143" customWidth="1"/>
    <col min="15" max="15" width="11.25" style="143" customWidth="1"/>
    <col min="16" max="16" width="10.5" style="144" customWidth="1"/>
    <col min="17" max="17" width="20.875" customWidth="1"/>
  </cols>
  <sheetData>
    <row r="1" spans="1:17" x14ac:dyDescent="0.2">
      <c r="A1" s="85" t="str">
        <f>'תוכן עניינים'!$B$7</f>
        <v xml:space="preserve">תקן ריהוט וציוד לדיור קהילתי </v>
      </c>
      <c r="L1" s="142" t="s">
        <v>385</v>
      </c>
    </row>
    <row r="2" spans="1:17" ht="29.25" x14ac:dyDescent="0.25">
      <c r="A2" s="145">
        <f>'תוכן עניינים'!B20</f>
        <v>7</v>
      </c>
      <c r="B2" s="328" t="str">
        <f>'תוכן עניינים'!C20</f>
        <v>ציוד נוסף שלא קיים בתקן</v>
      </c>
      <c r="C2" s="146" t="s">
        <v>449</v>
      </c>
      <c r="D2" s="43"/>
      <c r="E2" s="146"/>
      <c r="G2" s="43"/>
      <c r="H2" s="43"/>
      <c r="I2" s="43"/>
      <c r="J2" s="43"/>
      <c r="K2" s="43"/>
      <c r="L2" s="43"/>
      <c r="M2" s="320"/>
      <c r="N2" s="320"/>
      <c r="O2" s="320"/>
      <c r="P2" s="321"/>
      <c r="Q2" s="43"/>
    </row>
    <row r="3" spans="1:17" ht="45" x14ac:dyDescent="0.25">
      <c r="A3" s="147" t="s">
        <v>201</v>
      </c>
      <c r="B3" s="148" t="s">
        <v>450</v>
      </c>
      <c r="C3" s="148" t="s">
        <v>451</v>
      </c>
      <c r="D3" s="148" t="s">
        <v>452</v>
      </c>
      <c r="E3" s="148" t="s">
        <v>208</v>
      </c>
      <c r="F3" s="148" t="s">
        <v>453</v>
      </c>
      <c r="G3" s="148" t="s">
        <v>454</v>
      </c>
      <c r="H3" s="148" t="s">
        <v>455</v>
      </c>
      <c r="I3" s="148" t="s">
        <v>456</v>
      </c>
      <c r="J3" s="148" t="s">
        <v>211</v>
      </c>
      <c r="K3" s="43"/>
      <c r="L3" s="148" t="s">
        <v>457</v>
      </c>
      <c r="M3" s="148" t="s">
        <v>446</v>
      </c>
      <c r="N3" s="316" t="s">
        <v>458</v>
      </c>
      <c r="O3" s="148" t="s">
        <v>459</v>
      </c>
      <c r="P3" s="150" t="s">
        <v>447</v>
      </c>
      <c r="Q3" s="148" t="s">
        <v>213</v>
      </c>
    </row>
    <row r="4" spans="1:17" ht="15" x14ac:dyDescent="0.25">
      <c r="A4" s="151">
        <v>7.1</v>
      </c>
      <c r="B4" s="368"/>
      <c r="C4" s="44"/>
      <c r="D4" s="44"/>
      <c r="E4" s="44"/>
      <c r="F4" s="44"/>
      <c r="G4" s="44"/>
      <c r="H4" s="44"/>
      <c r="I4" s="45">
        <f t="shared" ref="I4:I28" si="0">(MIN($F4:$H4))*E4</f>
        <v>0</v>
      </c>
      <c r="J4" s="44"/>
      <c r="K4" s="43"/>
      <c r="L4" s="317"/>
      <c r="M4" s="318" t="str">
        <f>IF(ISBLANK(L4),"",IF(L4="מאשר",E4,""))</f>
        <v/>
      </c>
      <c r="N4" s="318"/>
      <c r="O4" s="319">
        <f>IF(N4="הצעה א",F4,IF(N4="הצעה ב",G4,IF(N4="הצעה ג",H4,MIN(F4:H4))))</f>
        <v>0</v>
      </c>
      <c r="P4" s="48" t="str">
        <f>IFERROR(IF(L4="","",M4*O4),"")</f>
        <v/>
      </c>
      <c r="Q4" s="317"/>
    </row>
    <row r="5" spans="1:17" ht="15" x14ac:dyDescent="0.25">
      <c r="A5" s="151">
        <v>7.2</v>
      </c>
      <c r="B5" s="369"/>
      <c r="C5" s="44"/>
      <c r="D5" s="44"/>
      <c r="E5" s="44"/>
      <c r="F5" s="44"/>
      <c r="G5" s="44"/>
      <c r="H5" s="44"/>
      <c r="I5" s="45">
        <f t="shared" si="0"/>
        <v>0</v>
      </c>
      <c r="J5" s="44"/>
      <c r="K5" s="43"/>
      <c r="L5" s="317"/>
      <c r="M5" s="318" t="str">
        <f t="shared" ref="M5:M28" si="1">IF(ISBLANK(L5),"",IF(L5="מאשר",E5,""))</f>
        <v/>
      </c>
      <c r="N5" s="318"/>
      <c r="O5" s="319">
        <f t="shared" ref="O5:O28" si="2">IF(N5="הצעה א",F5,IF(N5="הצעה ב",G5,IF(N5="הצעה ג",H5,MIN(F5:H5))))</f>
        <v>0</v>
      </c>
      <c r="P5" s="48" t="str">
        <f t="shared" ref="P5:P28" si="3">IFERROR(IF(L5="","",M5*O5),"")</f>
        <v/>
      </c>
      <c r="Q5" s="317"/>
    </row>
    <row r="6" spans="1:17" ht="15" x14ac:dyDescent="0.25">
      <c r="A6" s="151">
        <v>7.3</v>
      </c>
      <c r="B6" s="369"/>
      <c r="C6" s="44"/>
      <c r="D6" s="44"/>
      <c r="E6" s="44"/>
      <c r="F6" s="44"/>
      <c r="G6" s="44"/>
      <c r="H6" s="44"/>
      <c r="I6" s="45">
        <f t="shared" si="0"/>
        <v>0</v>
      </c>
      <c r="J6" s="44"/>
      <c r="K6" s="43"/>
      <c r="L6" s="317"/>
      <c r="M6" s="318" t="str">
        <f t="shared" si="1"/>
        <v/>
      </c>
      <c r="N6" s="318"/>
      <c r="O6" s="319">
        <f t="shared" si="2"/>
        <v>0</v>
      </c>
      <c r="P6" s="48" t="str">
        <f t="shared" si="3"/>
        <v/>
      </c>
      <c r="Q6" s="317"/>
    </row>
    <row r="7" spans="1:17" ht="15" x14ac:dyDescent="0.25">
      <c r="A7" s="151">
        <v>7.4</v>
      </c>
      <c r="B7" s="369"/>
      <c r="C7" s="44"/>
      <c r="D7" s="44"/>
      <c r="E7" s="44"/>
      <c r="F7" s="44"/>
      <c r="G7" s="44"/>
      <c r="H7" s="44"/>
      <c r="I7" s="45">
        <f t="shared" si="0"/>
        <v>0</v>
      </c>
      <c r="J7" s="44"/>
      <c r="K7" s="43"/>
      <c r="L7" s="317"/>
      <c r="M7" s="318" t="str">
        <f t="shared" si="1"/>
        <v/>
      </c>
      <c r="N7" s="318"/>
      <c r="O7" s="319">
        <f>IF(N7="הצעה א",F7,IF(N7="הצעה ב",G7,IF(N7="הצעה ג",H7,MIN(F7:H7))))</f>
        <v>0</v>
      </c>
      <c r="P7" s="48" t="str">
        <f t="shared" si="3"/>
        <v/>
      </c>
      <c r="Q7" s="317"/>
    </row>
    <row r="8" spans="1:17" ht="15" x14ac:dyDescent="0.25">
      <c r="A8" s="151">
        <v>7.5</v>
      </c>
      <c r="B8" s="370"/>
      <c r="C8" s="44"/>
      <c r="D8" s="44"/>
      <c r="E8" s="44"/>
      <c r="F8" s="44"/>
      <c r="G8" s="44"/>
      <c r="H8" s="44"/>
      <c r="I8" s="45">
        <f t="shared" si="0"/>
        <v>0</v>
      </c>
      <c r="J8" s="44"/>
      <c r="K8" s="43"/>
      <c r="L8" s="317"/>
      <c r="M8" s="318" t="str">
        <f t="shared" si="1"/>
        <v/>
      </c>
      <c r="N8" s="318"/>
      <c r="O8" s="319">
        <f>IF(N8="הצעה א",F8,IF(N8="הצעה ב",G8,IF(N8="הצעה ג",H8,MIN(F8:H8))))</f>
        <v>0</v>
      </c>
      <c r="P8" s="48" t="str">
        <f t="shared" si="3"/>
        <v/>
      </c>
      <c r="Q8" s="317"/>
    </row>
    <row r="9" spans="1:17" ht="15" x14ac:dyDescent="0.25">
      <c r="A9" s="151">
        <v>7.6</v>
      </c>
      <c r="B9" s="368"/>
      <c r="C9" s="44"/>
      <c r="D9" s="44"/>
      <c r="E9" s="44"/>
      <c r="F9" s="44"/>
      <c r="G9" s="44"/>
      <c r="H9" s="44"/>
      <c r="I9" s="45">
        <f t="shared" si="0"/>
        <v>0</v>
      </c>
      <c r="J9" s="44"/>
      <c r="K9" s="43"/>
      <c r="L9" s="317"/>
      <c r="M9" s="318" t="str">
        <f t="shared" si="1"/>
        <v/>
      </c>
      <c r="N9" s="318"/>
      <c r="O9" s="319">
        <f t="shared" si="2"/>
        <v>0</v>
      </c>
      <c r="P9" s="48" t="str">
        <f t="shared" si="3"/>
        <v/>
      </c>
      <c r="Q9" s="317"/>
    </row>
    <row r="10" spans="1:17" ht="15" x14ac:dyDescent="0.25">
      <c r="A10" s="151">
        <v>7.7</v>
      </c>
      <c r="B10" s="371"/>
      <c r="C10" s="44"/>
      <c r="D10" s="44"/>
      <c r="E10" s="44"/>
      <c r="F10" s="44"/>
      <c r="G10" s="44"/>
      <c r="H10" s="44"/>
      <c r="I10" s="45">
        <f t="shared" si="0"/>
        <v>0</v>
      </c>
      <c r="J10" s="44"/>
      <c r="K10" s="43"/>
      <c r="L10" s="317"/>
      <c r="M10" s="318" t="str">
        <f t="shared" si="1"/>
        <v/>
      </c>
      <c r="N10" s="318"/>
      <c r="O10" s="319">
        <f t="shared" si="2"/>
        <v>0</v>
      </c>
      <c r="P10" s="48" t="str">
        <f t="shared" si="3"/>
        <v/>
      </c>
      <c r="Q10" s="317"/>
    </row>
    <row r="11" spans="1:17" ht="15" x14ac:dyDescent="0.25">
      <c r="A11" s="151">
        <v>7.8</v>
      </c>
      <c r="B11" s="371"/>
      <c r="C11" s="44"/>
      <c r="D11" s="44"/>
      <c r="E11" s="44"/>
      <c r="F11" s="44"/>
      <c r="G11" s="44"/>
      <c r="H11" s="44"/>
      <c r="I11" s="45">
        <f t="shared" si="0"/>
        <v>0</v>
      </c>
      <c r="J11" s="44"/>
      <c r="K11" s="43"/>
      <c r="L11" s="317"/>
      <c r="M11" s="318" t="str">
        <f t="shared" si="1"/>
        <v/>
      </c>
      <c r="N11" s="318"/>
      <c r="O11" s="319">
        <f t="shared" si="2"/>
        <v>0</v>
      </c>
      <c r="P11" s="48" t="str">
        <f t="shared" si="3"/>
        <v/>
      </c>
      <c r="Q11" s="317"/>
    </row>
    <row r="12" spans="1:17" ht="15" x14ac:dyDescent="0.25">
      <c r="A12" s="151">
        <v>7.9</v>
      </c>
      <c r="B12" s="371"/>
      <c r="C12" s="44"/>
      <c r="D12" s="44"/>
      <c r="E12" s="44"/>
      <c r="F12" s="44"/>
      <c r="G12" s="44"/>
      <c r="H12" s="44"/>
      <c r="I12" s="45">
        <f t="shared" si="0"/>
        <v>0</v>
      </c>
      <c r="J12" s="44"/>
      <c r="K12" s="43"/>
      <c r="L12" s="317"/>
      <c r="M12" s="318" t="str">
        <f t="shared" si="1"/>
        <v/>
      </c>
      <c r="N12" s="318"/>
      <c r="O12" s="319">
        <f t="shared" si="2"/>
        <v>0</v>
      </c>
      <c r="P12" s="48" t="str">
        <f t="shared" si="3"/>
        <v/>
      </c>
      <c r="Q12" s="317"/>
    </row>
    <row r="13" spans="1:17" ht="15" x14ac:dyDescent="0.25">
      <c r="A13" s="152">
        <v>7.1</v>
      </c>
      <c r="B13" s="372"/>
      <c r="C13" s="44"/>
      <c r="D13" s="44"/>
      <c r="E13" s="44"/>
      <c r="F13" s="44"/>
      <c r="G13" s="44"/>
      <c r="H13" s="44"/>
      <c r="I13" s="45">
        <f t="shared" si="0"/>
        <v>0</v>
      </c>
      <c r="J13" s="44"/>
      <c r="K13" s="43"/>
      <c r="L13" s="317"/>
      <c r="M13" s="318" t="str">
        <f t="shared" si="1"/>
        <v/>
      </c>
      <c r="N13" s="318"/>
      <c r="O13" s="319">
        <f t="shared" si="2"/>
        <v>0</v>
      </c>
      <c r="P13" s="48" t="str">
        <f t="shared" si="3"/>
        <v/>
      </c>
      <c r="Q13" s="317"/>
    </row>
    <row r="14" spans="1:17" ht="15" x14ac:dyDescent="0.25">
      <c r="A14" s="152">
        <v>7.11</v>
      </c>
      <c r="B14" s="368"/>
      <c r="C14" s="44"/>
      <c r="D14" s="44"/>
      <c r="E14" s="44"/>
      <c r="F14" s="44"/>
      <c r="G14" s="44"/>
      <c r="H14" s="44"/>
      <c r="I14" s="45">
        <f t="shared" si="0"/>
        <v>0</v>
      </c>
      <c r="J14" s="44"/>
      <c r="K14" s="43"/>
      <c r="L14" s="317"/>
      <c r="M14" s="318" t="str">
        <f t="shared" si="1"/>
        <v/>
      </c>
      <c r="N14" s="318"/>
      <c r="O14" s="319">
        <f t="shared" si="2"/>
        <v>0</v>
      </c>
      <c r="P14" s="48" t="str">
        <f t="shared" si="3"/>
        <v/>
      </c>
      <c r="Q14" s="317"/>
    </row>
    <row r="15" spans="1:17" ht="15" x14ac:dyDescent="0.25">
      <c r="A15" s="152">
        <v>7.12</v>
      </c>
      <c r="B15" s="371"/>
      <c r="C15" s="44"/>
      <c r="D15" s="44"/>
      <c r="E15" s="44"/>
      <c r="F15" s="44"/>
      <c r="G15" s="44"/>
      <c r="H15" s="44"/>
      <c r="I15" s="45">
        <f t="shared" si="0"/>
        <v>0</v>
      </c>
      <c r="J15" s="44"/>
      <c r="K15" s="43"/>
      <c r="L15" s="317"/>
      <c r="M15" s="318" t="str">
        <f t="shared" si="1"/>
        <v/>
      </c>
      <c r="N15" s="318"/>
      <c r="O15" s="319">
        <f t="shared" si="2"/>
        <v>0</v>
      </c>
      <c r="P15" s="48" t="str">
        <f t="shared" si="3"/>
        <v/>
      </c>
      <c r="Q15" s="317"/>
    </row>
    <row r="16" spans="1:17" ht="15" x14ac:dyDescent="0.25">
      <c r="A16" s="152">
        <v>7.13</v>
      </c>
      <c r="B16" s="371"/>
      <c r="C16" s="44"/>
      <c r="D16" s="44"/>
      <c r="E16" s="44"/>
      <c r="F16" s="44"/>
      <c r="G16" s="44"/>
      <c r="H16" s="44"/>
      <c r="I16" s="45">
        <f t="shared" si="0"/>
        <v>0</v>
      </c>
      <c r="J16" s="44"/>
      <c r="K16" s="43"/>
      <c r="L16" s="317"/>
      <c r="M16" s="318" t="str">
        <f t="shared" si="1"/>
        <v/>
      </c>
      <c r="N16" s="318"/>
      <c r="O16" s="319">
        <f t="shared" si="2"/>
        <v>0</v>
      </c>
      <c r="P16" s="48" t="str">
        <f t="shared" si="3"/>
        <v/>
      </c>
      <c r="Q16" s="317"/>
    </row>
    <row r="17" spans="1:17" ht="15" x14ac:dyDescent="0.25">
      <c r="A17" s="152">
        <v>7.14</v>
      </c>
      <c r="B17" s="371"/>
      <c r="C17" s="44"/>
      <c r="D17" s="44"/>
      <c r="E17" s="44"/>
      <c r="F17" s="44"/>
      <c r="G17" s="44"/>
      <c r="H17" s="44"/>
      <c r="I17" s="45">
        <f t="shared" si="0"/>
        <v>0</v>
      </c>
      <c r="J17" s="44"/>
      <c r="K17" s="43"/>
      <c r="L17" s="317"/>
      <c r="M17" s="318" t="str">
        <f t="shared" si="1"/>
        <v/>
      </c>
      <c r="N17" s="318"/>
      <c r="O17" s="319">
        <f t="shared" si="2"/>
        <v>0</v>
      </c>
      <c r="P17" s="48" t="str">
        <f t="shared" si="3"/>
        <v/>
      </c>
      <c r="Q17" s="317"/>
    </row>
    <row r="18" spans="1:17" ht="15" x14ac:dyDescent="0.25">
      <c r="A18" s="152">
        <v>7.15</v>
      </c>
      <c r="B18" s="372"/>
      <c r="C18" s="44"/>
      <c r="D18" s="44"/>
      <c r="E18" s="44"/>
      <c r="F18" s="44"/>
      <c r="G18" s="44"/>
      <c r="H18" s="44"/>
      <c r="I18" s="45">
        <f t="shared" si="0"/>
        <v>0</v>
      </c>
      <c r="J18" s="44"/>
      <c r="K18" s="43"/>
      <c r="L18" s="317"/>
      <c r="M18" s="318" t="str">
        <f t="shared" si="1"/>
        <v/>
      </c>
      <c r="N18" s="318"/>
      <c r="O18" s="319">
        <f t="shared" si="2"/>
        <v>0</v>
      </c>
      <c r="P18" s="48" t="str">
        <f t="shared" si="3"/>
        <v/>
      </c>
      <c r="Q18" s="317"/>
    </row>
    <row r="19" spans="1:17" ht="15" x14ac:dyDescent="0.25">
      <c r="A19" s="152">
        <v>7.16</v>
      </c>
      <c r="B19" s="368"/>
      <c r="C19" s="44"/>
      <c r="D19" s="44"/>
      <c r="E19" s="44"/>
      <c r="F19" s="44"/>
      <c r="G19" s="44"/>
      <c r="H19" s="44"/>
      <c r="I19" s="45">
        <f t="shared" si="0"/>
        <v>0</v>
      </c>
      <c r="J19" s="44"/>
      <c r="K19" s="43"/>
      <c r="L19" s="317"/>
      <c r="M19" s="318" t="str">
        <f t="shared" si="1"/>
        <v/>
      </c>
      <c r="N19" s="318"/>
      <c r="O19" s="319">
        <f t="shared" si="2"/>
        <v>0</v>
      </c>
      <c r="P19" s="48" t="str">
        <f t="shared" si="3"/>
        <v/>
      </c>
      <c r="Q19" s="317"/>
    </row>
    <row r="20" spans="1:17" ht="15" x14ac:dyDescent="0.25">
      <c r="A20" s="152">
        <v>7.17</v>
      </c>
      <c r="B20" s="371"/>
      <c r="C20" s="44"/>
      <c r="D20" s="44"/>
      <c r="E20" s="44"/>
      <c r="F20" s="44"/>
      <c r="G20" s="44"/>
      <c r="H20" s="44"/>
      <c r="I20" s="45">
        <f t="shared" si="0"/>
        <v>0</v>
      </c>
      <c r="J20" s="44"/>
      <c r="K20" s="43"/>
      <c r="L20" s="317"/>
      <c r="M20" s="318" t="str">
        <f t="shared" si="1"/>
        <v/>
      </c>
      <c r="N20" s="318"/>
      <c r="O20" s="319">
        <f t="shared" si="2"/>
        <v>0</v>
      </c>
      <c r="P20" s="48" t="str">
        <f t="shared" si="3"/>
        <v/>
      </c>
      <c r="Q20" s="317"/>
    </row>
    <row r="21" spans="1:17" ht="15" x14ac:dyDescent="0.25">
      <c r="A21" s="152">
        <v>7.1800000000000104</v>
      </c>
      <c r="B21" s="371"/>
      <c r="C21" s="44"/>
      <c r="D21" s="44"/>
      <c r="E21" s="44"/>
      <c r="F21" s="44"/>
      <c r="G21" s="44"/>
      <c r="H21" s="44"/>
      <c r="I21" s="45">
        <f t="shared" si="0"/>
        <v>0</v>
      </c>
      <c r="J21" s="44"/>
      <c r="K21" s="43"/>
      <c r="L21" s="317"/>
      <c r="M21" s="318" t="str">
        <f t="shared" si="1"/>
        <v/>
      </c>
      <c r="N21" s="318"/>
      <c r="O21" s="319">
        <f t="shared" si="2"/>
        <v>0</v>
      </c>
      <c r="P21" s="48" t="str">
        <f t="shared" si="3"/>
        <v/>
      </c>
      <c r="Q21" s="317"/>
    </row>
    <row r="22" spans="1:17" ht="15" x14ac:dyDescent="0.25">
      <c r="A22" s="152">
        <v>7.1900000000000102</v>
      </c>
      <c r="B22" s="371"/>
      <c r="C22" s="44"/>
      <c r="D22" s="44"/>
      <c r="E22" s="44"/>
      <c r="F22" s="44"/>
      <c r="G22" s="44"/>
      <c r="H22" s="44"/>
      <c r="I22" s="45">
        <f t="shared" si="0"/>
        <v>0</v>
      </c>
      <c r="J22" s="44"/>
      <c r="K22" s="43"/>
      <c r="L22" s="317"/>
      <c r="M22" s="318" t="str">
        <f t="shared" si="1"/>
        <v/>
      </c>
      <c r="N22" s="318"/>
      <c r="O22" s="319">
        <f t="shared" si="2"/>
        <v>0</v>
      </c>
      <c r="P22" s="48" t="str">
        <f t="shared" si="3"/>
        <v/>
      </c>
      <c r="Q22" s="317"/>
    </row>
    <row r="23" spans="1:17" ht="15" x14ac:dyDescent="0.25">
      <c r="A23" s="152">
        <v>7.2000000000000099</v>
      </c>
      <c r="B23" s="372"/>
      <c r="C23" s="44"/>
      <c r="D23" s="44"/>
      <c r="E23" s="44"/>
      <c r="F23" s="44"/>
      <c r="G23" s="44"/>
      <c r="H23" s="44"/>
      <c r="I23" s="45">
        <f t="shared" si="0"/>
        <v>0</v>
      </c>
      <c r="J23" s="44"/>
      <c r="K23" s="43"/>
      <c r="L23" s="317"/>
      <c r="M23" s="318" t="str">
        <f t="shared" si="1"/>
        <v/>
      </c>
      <c r="N23" s="318"/>
      <c r="O23" s="319">
        <f t="shared" si="2"/>
        <v>0</v>
      </c>
      <c r="P23" s="48" t="str">
        <f t="shared" si="3"/>
        <v/>
      </c>
      <c r="Q23" s="317"/>
    </row>
    <row r="24" spans="1:17" ht="15" x14ac:dyDescent="0.25">
      <c r="A24" s="152">
        <v>7.2100000000000097</v>
      </c>
      <c r="B24" s="368"/>
      <c r="C24" s="44"/>
      <c r="D24" s="44"/>
      <c r="E24" s="44"/>
      <c r="F24" s="44"/>
      <c r="G24" s="44"/>
      <c r="H24" s="44"/>
      <c r="I24" s="45">
        <f t="shared" si="0"/>
        <v>0</v>
      </c>
      <c r="J24" s="44"/>
      <c r="K24" s="43"/>
      <c r="L24" s="317"/>
      <c r="M24" s="318" t="str">
        <f t="shared" si="1"/>
        <v/>
      </c>
      <c r="N24" s="318"/>
      <c r="O24" s="319">
        <f t="shared" si="2"/>
        <v>0</v>
      </c>
      <c r="P24" s="48" t="str">
        <f t="shared" si="3"/>
        <v/>
      </c>
      <c r="Q24" s="317"/>
    </row>
    <row r="25" spans="1:17" ht="15" x14ac:dyDescent="0.25">
      <c r="A25" s="152">
        <v>7.2200000000000104</v>
      </c>
      <c r="B25" s="371"/>
      <c r="C25" s="44"/>
      <c r="D25" s="44"/>
      <c r="E25" s="44"/>
      <c r="F25" s="44"/>
      <c r="G25" s="44"/>
      <c r="H25" s="44"/>
      <c r="I25" s="45">
        <f t="shared" si="0"/>
        <v>0</v>
      </c>
      <c r="J25" s="44"/>
      <c r="K25" s="43"/>
      <c r="L25" s="317"/>
      <c r="M25" s="318" t="str">
        <f t="shared" si="1"/>
        <v/>
      </c>
      <c r="N25" s="318"/>
      <c r="O25" s="319">
        <f t="shared" si="2"/>
        <v>0</v>
      </c>
      <c r="P25" s="48" t="str">
        <f t="shared" si="3"/>
        <v/>
      </c>
      <c r="Q25" s="317"/>
    </row>
    <row r="26" spans="1:17" ht="15" x14ac:dyDescent="0.25">
      <c r="A26" s="152">
        <v>7.2300000000000102</v>
      </c>
      <c r="B26" s="371"/>
      <c r="C26" s="44"/>
      <c r="D26" s="44"/>
      <c r="E26" s="44"/>
      <c r="F26" s="44"/>
      <c r="G26" s="44"/>
      <c r="H26" s="44"/>
      <c r="I26" s="45">
        <f t="shared" si="0"/>
        <v>0</v>
      </c>
      <c r="J26" s="44"/>
      <c r="K26" s="43"/>
      <c r="L26" s="317"/>
      <c r="M26" s="318" t="str">
        <f t="shared" si="1"/>
        <v/>
      </c>
      <c r="N26" s="318"/>
      <c r="O26" s="319">
        <f t="shared" si="2"/>
        <v>0</v>
      </c>
      <c r="P26" s="48" t="str">
        <f t="shared" si="3"/>
        <v/>
      </c>
      <c r="Q26" s="317"/>
    </row>
    <row r="27" spans="1:17" ht="15" x14ac:dyDescent="0.25">
      <c r="A27" s="152">
        <v>7.24000000000001</v>
      </c>
      <c r="B27" s="371"/>
      <c r="C27" s="44"/>
      <c r="D27" s="44"/>
      <c r="E27" s="44"/>
      <c r="F27" s="44"/>
      <c r="G27" s="44"/>
      <c r="H27" s="44"/>
      <c r="I27" s="45">
        <f t="shared" si="0"/>
        <v>0</v>
      </c>
      <c r="J27" s="44"/>
      <c r="K27" s="43"/>
      <c r="L27" s="317"/>
      <c r="M27" s="318" t="str">
        <f t="shared" si="1"/>
        <v/>
      </c>
      <c r="N27" s="318"/>
      <c r="O27" s="319">
        <f t="shared" si="2"/>
        <v>0</v>
      </c>
      <c r="P27" s="48" t="str">
        <f t="shared" si="3"/>
        <v/>
      </c>
      <c r="Q27" s="317"/>
    </row>
    <row r="28" spans="1:17" ht="15" x14ac:dyDescent="0.25">
      <c r="A28" s="152">
        <v>7.2500000000000098</v>
      </c>
      <c r="B28" s="372"/>
      <c r="C28" s="44"/>
      <c r="D28" s="44"/>
      <c r="E28" s="44"/>
      <c r="F28" s="44"/>
      <c r="G28" s="44"/>
      <c r="H28" s="44"/>
      <c r="I28" s="45">
        <f t="shared" si="0"/>
        <v>0</v>
      </c>
      <c r="J28" s="44"/>
      <c r="K28" s="43"/>
      <c r="L28" s="317"/>
      <c r="M28" s="318" t="str">
        <f t="shared" si="1"/>
        <v/>
      </c>
      <c r="N28" s="318"/>
      <c r="O28" s="319">
        <f t="shared" si="2"/>
        <v>0</v>
      </c>
      <c r="P28" s="48" t="str">
        <f t="shared" si="3"/>
        <v/>
      </c>
      <c r="Q28" s="317"/>
    </row>
    <row r="29" spans="1:17" ht="15" x14ac:dyDescent="0.25">
      <c r="A29" s="153" t="s">
        <v>460</v>
      </c>
      <c r="B29" s="154"/>
      <c r="C29" s="155"/>
      <c r="D29" s="155"/>
      <c r="E29" s="155"/>
      <c r="F29" s="155"/>
      <c r="G29" s="155"/>
      <c r="H29" s="156"/>
      <c r="I29" s="157">
        <f>SUM(I4:I28)</f>
        <v>0</v>
      </c>
      <c r="J29" s="158"/>
      <c r="K29" s="159"/>
      <c r="L29" s="158"/>
      <c r="M29" s="160"/>
      <c r="N29" s="160"/>
      <c r="O29" s="160"/>
      <c r="P29" s="158">
        <f>SUM(P4:P28)</f>
        <v>0</v>
      </c>
      <c r="Q29" s="158" t="str">
        <f>A29</f>
        <v>סה"כ ציוד נוסף שלא קיים בתקן כולל מע"מ</v>
      </c>
    </row>
  </sheetData>
  <sheetProtection algorithmName="SHA-512" hashValue="4VKCznnusLYkW/MzwYhv7s5ZNXgV8CH3TXW2c+SoNiuUm2ETHgf9BrAZnWgWtR22GnjQ+Eq/A10srvx8DC5yMg==" saltValue="tuo9OwW31Y1+Vu4Wh42OMQ==" spinCount="100000" sheet="1" formatCells="0" formatColumns="0" formatRows="0"/>
  <mergeCells count="5">
    <mergeCell ref="B4:B8"/>
    <mergeCell ref="B9:B13"/>
    <mergeCell ref="B14:B18"/>
    <mergeCell ref="B19:B23"/>
    <mergeCell ref="B24:B28"/>
  </mergeCells>
  <dataValidations count="2">
    <dataValidation type="list" allowBlank="1" showInputMessage="1" showErrorMessage="1" sqref="L4:L28">
      <formula1>"מאשר, מאשר חלקי, לא מאשר"</formula1>
    </dataValidation>
    <dataValidation type="list" allowBlank="1" showInputMessage="1" showErrorMessage="1" sqref="N4:N28">
      <formula1>"הצעה א, הצעה ב, הצעה ג"</formula1>
    </dataValidation>
  </dataValidations>
  <pageMargins left="0.70866141732283472" right="0.70866141732283472" top="0.74803149606299213" bottom="0.74803149606299213" header="0.31496062992125984" footer="0.31496062992125984"/>
  <pageSetup paperSize="9"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57"/>
  <sheetViews>
    <sheetView showGridLines="0" rightToLeft="1" zoomScaleNormal="100" workbookViewId="0">
      <selection activeCell="G4" sqref="G4"/>
    </sheetView>
  </sheetViews>
  <sheetFormatPr defaultColWidth="9" defaultRowHeight="15.75" outlineLevelRow="1" x14ac:dyDescent="0.25"/>
  <cols>
    <col min="1" max="1" width="3.125" style="105" customWidth="1"/>
    <col min="2" max="2" width="4.875" style="107" customWidth="1"/>
    <col min="3" max="3" width="6.375" style="107" bestFit="1" customWidth="1"/>
    <col min="4" max="4" width="33.5" style="107" customWidth="1"/>
    <col min="5" max="5" width="23.75" style="107" customWidth="1"/>
    <col min="6" max="6" width="24.125" style="105" customWidth="1"/>
    <col min="7" max="7" width="11.125" style="105" bestFit="1" customWidth="1"/>
    <col min="8" max="8" width="18.5" style="105" customWidth="1"/>
    <col min="9" max="16384" width="9" style="105"/>
  </cols>
  <sheetData>
    <row r="2" spans="2:8" ht="18.75" x14ac:dyDescent="0.3">
      <c r="B2" s="100"/>
      <c r="C2" s="101"/>
      <c r="D2" s="102" t="str">
        <f>'תוכן עניינים'!$B$7</f>
        <v xml:space="preserve">תקן ריהוט וציוד לדיור קהילתי </v>
      </c>
      <c r="E2" s="101"/>
      <c r="F2" s="103"/>
      <c r="G2" s="103"/>
      <c r="H2" s="104"/>
    </row>
    <row r="3" spans="2:8" x14ac:dyDescent="0.25">
      <c r="B3" s="106"/>
      <c r="D3" s="107" t="s">
        <v>461</v>
      </c>
      <c r="F3" s="108" t="str">
        <f>'שאלון למילוי הגוף-חובה'!C25</f>
        <v>פרויקט ארצי</v>
      </c>
      <c r="G3" s="34">
        <f>'שאלון למילוי הגוף-חובה'!D25</f>
        <v>0</v>
      </c>
      <c r="H3" s="313" t="str">
        <f t="shared" ref="H3:H6" si="0">IF(G3=0,"יש למלא שאלון","")</f>
        <v>יש למלא שאלון</v>
      </c>
    </row>
    <row r="4" spans="2:8" x14ac:dyDescent="0.25">
      <c r="B4" s="106"/>
      <c r="F4" s="108" t="s">
        <v>462</v>
      </c>
      <c r="G4" s="34" t="str">
        <f>IF(G3="כן",10,'שאלון למילוי הגוף-חובה'!D26)</f>
        <v/>
      </c>
      <c r="H4" s="313" t="str">
        <f>IF(G4="","יש למלא שאלון","")</f>
        <v>יש למלא שאלון</v>
      </c>
    </row>
    <row r="5" spans="2:8" x14ac:dyDescent="0.25">
      <c r="B5" s="106"/>
      <c r="F5" s="108" t="str">
        <f>'שאלון למילוי הגוף-חובה'!C27</f>
        <v>קו עימות</v>
      </c>
      <c r="G5" s="34">
        <f>'שאלון למילוי הגוף-חובה'!D27</f>
        <v>0</v>
      </c>
      <c r="H5" s="313" t="str">
        <f t="shared" si="0"/>
        <v>יש למלא שאלון</v>
      </c>
    </row>
    <row r="6" spans="2:8" x14ac:dyDescent="0.25">
      <c r="B6" s="106"/>
      <c r="F6" s="108" t="str">
        <f>'שאלון למילוי הגוף-חובה'!C28</f>
        <v>האם הגוף המבקש הינו גוף פרטי?</v>
      </c>
      <c r="G6" s="34">
        <f>'שאלון למילוי הגוף-חובה'!D28</f>
        <v>0</v>
      </c>
      <c r="H6" s="313" t="str">
        <f t="shared" si="0"/>
        <v>יש למלא שאלון</v>
      </c>
    </row>
    <row r="7" spans="2:8" ht="31.5" hidden="1" outlineLevel="1" x14ac:dyDescent="0.25">
      <c r="B7" s="106"/>
      <c r="F7" s="109" t="s">
        <v>463</v>
      </c>
      <c r="G7" s="35">
        <v>1000000</v>
      </c>
      <c r="H7" s="313" t="str">
        <f>IF(G7=0,"יש לרשום סכום","")</f>
        <v/>
      </c>
    </row>
    <row r="8" spans="2:8" s="107" customFormat="1" collapsed="1" x14ac:dyDescent="0.25">
      <c r="B8" s="106"/>
      <c r="D8" s="107" t="str">
        <f>'שאלון למילוי הגוף-חובה'!C9</f>
        <v>תאריך הגשת הבקשה</v>
      </c>
      <c r="E8" s="110">
        <f>'שאלון למילוי הגוף-חובה'!D9</f>
        <v>0</v>
      </c>
      <c r="F8" s="311" t="str">
        <f>IF(E8=0,"יש למלא שאלון","")</f>
        <v>יש למלא שאלון</v>
      </c>
      <c r="H8" s="111"/>
    </row>
    <row r="9" spans="2:8" s="107" customFormat="1" x14ac:dyDescent="0.25">
      <c r="B9" s="106"/>
      <c r="D9" s="107" t="str">
        <f>'שאלון למילוי הגוף-חובה'!C10</f>
        <v>שם הגוף המבקש</v>
      </c>
      <c r="E9" s="107">
        <f>'שאלון למילוי הגוף-חובה'!D10</f>
        <v>0</v>
      </c>
      <c r="F9" s="311" t="str">
        <f t="shared" ref="F9:F13" si="1">IF(E9=0,"יש למלא שאלון","")</f>
        <v>יש למלא שאלון</v>
      </c>
      <c r="H9" s="111"/>
    </row>
    <row r="10" spans="2:8" s="107" customFormat="1" x14ac:dyDescent="0.25">
      <c r="B10" s="106"/>
      <c r="D10" s="107" t="str">
        <f>'שאלון למילוי הגוף-חובה'!C18</f>
        <v>שם המסגרת</v>
      </c>
      <c r="E10" s="107">
        <f>'שאלון למילוי הגוף-חובה'!D18</f>
        <v>0</v>
      </c>
      <c r="F10" s="311" t="str">
        <f t="shared" si="1"/>
        <v>יש למלא שאלון</v>
      </c>
      <c r="H10" s="111"/>
    </row>
    <row r="11" spans="2:8" s="107" customFormat="1" x14ac:dyDescent="0.25">
      <c r="B11" s="106"/>
      <c r="D11" s="107" t="s">
        <v>464</v>
      </c>
      <c r="E11" s="107">
        <f>'שאלון למילוי הגוף-חובה'!D30+'שאלון למילוי הגוף-חובה'!D33</f>
        <v>0</v>
      </c>
      <c r="F11" s="311" t="str">
        <f t="shared" si="1"/>
        <v>יש למלא שאלון</v>
      </c>
      <c r="H11" s="111"/>
    </row>
    <row r="12" spans="2:8" s="107" customFormat="1" x14ac:dyDescent="0.25">
      <c r="B12" s="106"/>
      <c r="D12" s="107" t="s">
        <v>465</v>
      </c>
      <c r="E12" s="107">
        <f>'שאלון למילוי הגוף-חובה'!D36</f>
        <v>0</v>
      </c>
      <c r="F12" s="311" t="str">
        <f t="shared" si="1"/>
        <v>יש למלא שאלון</v>
      </c>
      <c r="H12" s="111"/>
    </row>
    <row r="13" spans="2:8" s="107" customFormat="1" x14ac:dyDescent="0.25">
      <c r="B13" s="106"/>
      <c r="D13" s="107" t="s">
        <v>466</v>
      </c>
      <c r="E13" s="107">
        <f>'שאלון למילוי הגוף-חובה'!D37</f>
        <v>0</v>
      </c>
      <c r="F13" s="311" t="str">
        <f t="shared" si="1"/>
        <v>יש למלא שאלון</v>
      </c>
      <c r="H13" s="111"/>
    </row>
    <row r="14" spans="2:8" s="107" customFormat="1" x14ac:dyDescent="0.25">
      <c r="B14" s="106"/>
      <c r="H14" s="111"/>
    </row>
    <row r="15" spans="2:8" s="107" customFormat="1" x14ac:dyDescent="0.25">
      <c r="B15" s="106"/>
      <c r="D15" s="112" t="s">
        <v>467</v>
      </c>
      <c r="E15" s="112"/>
      <c r="H15" s="111"/>
    </row>
    <row r="16" spans="2:8" s="107" customFormat="1" x14ac:dyDescent="0.25">
      <c r="B16" s="106"/>
      <c r="C16" s="113" t="s">
        <v>201</v>
      </c>
      <c r="D16" s="113" t="s">
        <v>468</v>
      </c>
      <c r="E16" s="114" t="s">
        <v>469</v>
      </c>
      <c r="H16" s="111"/>
    </row>
    <row r="17" spans="2:8" s="107" customFormat="1" x14ac:dyDescent="0.25">
      <c r="B17" s="106"/>
      <c r="C17" s="113">
        <f>'חדרי שינה'!A2</f>
        <v>1</v>
      </c>
      <c r="D17" s="113" t="str">
        <f>'חדרי שינה'!B2</f>
        <v>חדרי שינה: ציוד וריהוט</v>
      </c>
      <c r="E17" s="36">
        <f>'חדרי שינה'!J18</f>
        <v>0</v>
      </c>
      <c r="F17" s="337" t="str">
        <f>IF(MAX('חדרי שינה'!K5:K18)&gt;0,"חריגות","")</f>
        <v/>
      </c>
      <c r="H17" s="111"/>
    </row>
    <row r="18" spans="2:8" s="107" customFormat="1" ht="31.5" x14ac:dyDescent="0.25">
      <c r="B18" s="106"/>
      <c r="C18" s="114">
        <f>'דירה קהילתית-חללים משותפים '!A2</f>
        <v>2</v>
      </c>
      <c r="D18" s="115" t="str">
        <f>'דירה קהילתית-חללים משותפים '!B2</f>
        <v>דירה קהלתית: ציוד חללים משותפים (עד 8 דיירים)</v>
      </c>
      <c r="E18" s="36"/>
      <c r="F18" s="337" t="str">
        <f>IF(MAX('דירה קהילתית-חללים משותפים '!K6:K56)&gt;0,"חריגות","")</f>
        <v/>
      </c>
      <c r="H18" s="111"/>
    </row>
    <row r="19" spans="2:8" s="107" customFormat="1" x14ac:dyDescent="0.25">
      <c r="B19" s="106"/>
      <c r="C19" s="114">
        <f>'דירה קהילתית-חללים משותפים '!A5</f>
        <v>2.1</v>
      </c>
      <c r="D19" s="325" t="str">
        <f>'דירה קהילתית-חללים משותפים '!C5</f>
        <v>מטבח</v>
      </c>
      <c r="E19" s="36">
        <f>'דירה קהילתית-חללים משותפים '!J20</f>
        <v>0</v>
      </c>
      <c r="F19" s="337" t="str">
        <f>IF(MAX('דירה קהילתית-חללים משותפים '!K6:K20)&gt;0,"חריגות","")</f>
        <v/>
      </c>
      <c r="H19" s="111"/>
    </row>
    <row r="20" spans="2:8" s="107" customFormat="1" x14ac:dyDescent="0.25">
      <c r="B20" s="106"/>
      <c r="C20" s="114">
        <f>'דירה קהילתית-חללים משותפים '!A21</f>
        <v>2.2000000000000002</v>
      </c>
      <c r="D20" s="325" t="str">
        <f>'דירה קהילתית-חללים משותפים '!C21</f>
        <v xml:space="preserve">סלון </v>
      </c>
      <c r="E20" s="36">
        <f>'דירה קהילתית-חללים משותפים '!J36</f>
        <v>0</v>
      </c>
      <c r="F20" s="337" t="str">
        <f>IF(MAX('דירה קהילתית-חללים משותפים '!K22:K36)&gt;0,"חריגות","")</f>
        <v/>
      </c>
      <c r="H20" s="111"/>
    </row>
    <row r="21" spans="2:8" s="107" customFormat="1" x14ac:dyDescent="0.25">
      <c r="B21" s="106"/>
      <c r="C21" s="114">
        <f>'דירה קהילתית-חללים משותפים '!A37</f>
        <v>2.2999999999999998</v>
      </c>
      <c r="D21" s="325" t="str">
        <f>'דירה קהילתית-חללים משותפים '!C37</f>
        <v xml:space="preserve">ציוד כללי </v>
      </c>
      <c r="E21" s="36">
        <f>'דירה קהילתית-חללים משותפים '!J51</f>
        <v>0</v>
      </c>
      <c r="F21" s="337" t="str">
        <f>IF(MAX('דירה קהילתית-חללים משותפים '!K38:K51)&gt;0,"חריגות","")</f>
        <v/>
      </c>
      <c r="H21" s="111"/>
    </row>
    <row r="22" spans="2:8" s="107" customFormat="1" x14ac:dyDescent="0.25">
      <c r="B22" s="106"/>
      <c r="C22" s="114">
        <f>'דירה קהילתית-חללים משותפים '!A52</f>
        <v>2.4</v>
      </c>
      <c r="D22" s="325" t="str">
        <f>'דירה קהילתית-חללים משותפים '!C52</f>
        <v>ציוד חצר/ מרפסת</v>
      </c>
      <c r="E22" s="36">
        <f>'דירה קהילתית-חללים משותפים '!J55</f>
        <v>0</v>
      </c>
      <c r="F22" s="337" t="str">
        <f>IF(MAX('דירה קהילתית-חללים משותפים '!K53:K55)&gt;0,"חריגות","")</f>
        <v/>
      </c>
      <c r="H22" s="111"/>
    </row>
    <row r="23" spans="2:8" s="107" customFormat="1" ht="31.5" x14ac:dyDescent="0.25">
      <c r="B23" s="106"/>
      <c r="C23" s="114">
        <f>'בית שיתופי-חללים משותפים'!A2</f>
        <v>3</v>
      </c>
      <c r="D23" s="115" t="str">
        <f>'בית שיתופי-חללים משותפים'!B2</f>
        <v>בית שיתופי: ציוד חללים משותפים (מעל 8 דיירים)</v>
      </c>
      <c r="E23" s="36"/>
      <c r="F23" s="337" t="str">
        <f>IF(MAX('בית שיתופי-חללים משותפים'!K6:K62)&gt;0,"חריגות","")</f>
        <v/>
      </c>
      <c r="H23" s="111"/>
    </row>
    <row r="24" spans="2:8" s="107" customFormat="1" x14ac:dyDescent="0.25">
      <c r="B24" s="106"/>
      <c r="C24" s="114">
        <f>'בית שיתופי-חללים משותפים'!A5</f>
        <v>3.1</v>
      </c>
      <c r="D24" s="325" t="str">
        <f>'בית שיתופי-חללים משותפים'!C5</f>
        <v>מטבח מרכזי</v>
      </c>
      <c r="E24" s="36">
        <f>'בית שיתופי-חללים משותפים'!J20</f>
        <v>0</v>
      </c>
      <c r="F24" s="337" t="str">
        <f>IF(MAX('בית שיתופי-חללים משותפים'!K6:K20)&gt;0,"חריגות","")</f>
        <v/>
      </c>
      <c r="H24" s="111"/>
    </row>
    <row r="25" spans="2:8" s="107" customFormat="1" x14ac:dyDescent="0.25">
      <c r="B25" s="106"/>
      <c r="C25" s="114">
        <f>'בית שיתופי-חללים משותפים'!A21</f>
        <v>3.2</v>
      </c>
      <c r="D25" s="325" t="str">
        <f>'בית שיתופי-חללים משותפים'!C21</f>
        <v>סלון מרכזי</v>
      </c>
      <c r="E25" s="36">
        <f>'בית שיתופי-חללים משותפים'!J38</f>
        <v>0</v>
      </c>
      <c r="F25" s="337" t="str">
        <f>IF(MAX('בית שיתופי-חללים משותפים'!K22:K38)&gt;0,"חריגות","")</f>
        <v/>
      </c>
      <c r="H25" s="111"/>
    </row>
    <row r="26" spans="2:8" s="107" customFormat="1" x14ac:dyDescent="0.25">
      <c r="B26" s="106"/>
      <c r="C26" s="114">
        <f>'בית שיתופי-חללים משותפים'!A39</f>
        <v>3.3</v>
      </c>
      <c r="D26" s="325" t="str">
        <f>'בית שיתופי-חללים משותפים'!C39</f>
        <v xml:space="preserve">ציוד עזרה ראשונה </v>
      </c>
      <c r="E26" s="36">
        <f>'בית שיתופי-חללים משותפים'!J43</f>
        <v>0</v>
      </c>
      <c r="F26" s="337" t="str">
        <f>IF(MAX('בית שיתופי-חללים משותפים'!K40:K43)&gt;0,"חריגות","")</f>
        <v/>
      </c>
      <c r="H26" s="111"/>
    </row>
    <row r="27" spans="2:8" s="107" customFormat="1" x14ac:dyDescent="0.25">
      <c r="B27" s="106"/>
      <c r="C27" s="114">
        <f>'בית שיתופי-חללים משותפים'!A44</f>
        <v>3.4</v>
      </c>
      <c r="D27" s="325" t="str">
        <f>'בית שיתופי-חללים משותפים'!C44</f>
        <v>ציוד כללי</v>
      </c>
      <c r="E27" s="36">
        <f>'בית שיתופי-חללים משותפים'!J57</f>
        <v>0</v>
      </c>
      <c r="F27" s="337" t="str">
        <f>IF(MAX('בית שיתופי-חללים משותפים'!K45:K57)&gt;0,"חריגות","")</f>
        <v/>
      </c>
      <c r="H27" s="111"/>
    </row>
    <row r="28" spans="2:8" s="107" customFormat="1" x14ac:dyDescent="0.25">
      <c r="B28" s="106"/>
      <c r="C28" s="114">
        <f>'בית שיתופי-חללים משותפים'!A58</f>
        <v>3.5</v>
      </c>
      <c r="D28" s="325" t="str">
        <f>'בית שיתופי-חללים משותפים'!C58</f>
        <v>ציוד חצר/ מרפסת</v>
      </c>
      <c r="E28" s="36">
        <f>'בית שיתופי-חללים משותפים'!J61</f>
        <v>0</v>
      </c>
      <c r="F28" s="337" t="str">
        <f>IF(MAX('בית שיתופי-חללים משותפים'!K59:K61)&gt;0,"חריגות","")</f>
        <v/>
      </c>
      <c r="H28" s="111"/>
    </row>
    <row r="29" spans="2:8" s="107" customFormat="1" ht="31.5" x14ac:dyDescent="0.25">
      <c r="B29" s="106"/>
      <c r="C29" s="114">
        <f>'בית שיתופי-סלון ומטבחון נוספים'!A2</f>
        <v>4</v>
      </c>
      <c r="D29" s="115" t="str">
        <f>'בית שיתופי-סלון ומטבחון נוספים'!B2</f>
        <v>בית שיתופי: אופציה למטבחון וסלון קטן (מעל 8 דיירים)</v>
      </c>
      <c r="E29" s="36"/>
      <c r="F29" s="337" t="str">
        <f>IF(MAX('בית שיתופי-סלון ומטבחון נוספים'!K6:K24)&gt;0,"חריגות","")</f>
        <v/>
      </c>
      <c r="H29" s="111"/>
    </row>
    <row r="30" spans="2:8" s="107" customFormat="1" x14ac:dyDescent="0.25">
      <c r="B30" s="106"/>
      <c r="C30" s="114">
        <f>'בית שיתופי-סלון ומטבחון נוספים'!A5</f>
        <v>4.0999999999999996</v>
      </c>
      <c r="D30" s="325" t="str">
        <f>'בית שיתופי-סלון ומטבחון נוספים'!C5</f>
        <v>מטבחון</v>
      </c>
      <c r="E30" s="36">
        <f>'בית שיתופי-סלון ומטבחון נוספים'!J11</f>
        <v>0</v>
      </c>
      <c r="F30" s="337" t="str">
        <f>IF(MAX('בית שיתופי-סלון ומטבחון נוספים'!K6:K11)&gt;0,"חריגות","")</f>
        <v/>
      </c>
      <c r="H30" s="111"/>
    </row>
    <row r="31" spans="2:8" s="107" customFormat="1" x14ac:dyDescent="0.25">
      <c r="B31" s="106"/>
      <c r="C31" s="113">
        <f>'בית שיתופי-סלון ומטבחון נוספים'!A12</f>
        <v>4.2</v>
      </c>
      <c r="D31" s="325" t="str">
        <f>'בית שיתופי-סלון ומטבחון נוספים'!C12</f>
        <v xml:space="preserve">סלון קטן </v>
      </c>
      <c r="E31" s="36">
        <f>'בית שיתופי-סלון ומטבחון נוספים'!J23</f>
        <v>0</v>
      </c>
      <c r="F31" s="337" t="str">
        <f>IF(MAX('בית שיתופי-סלון ומטבחון נוספים'!K13:K23)&gt;0,"חריגות","")</f>
        <v/>
      </c>
      <c r="H31" s="111"/>
    </row>
    <row r="32" spans="2:8" s="107" customFormat="1" x14ac:dyDescent="0.25">
      <c r="B32" s="106"/>
      <c r="C32" s="114">
        <f>'תוכן עניינים'!B18</f>
        <v>5</v>
      </c>
      <c r="D32" s="115" t="str">
        <f>'תוכן עניינים'!C18</f>
        <v>ציוד מיוחד</v>
      </c>
      <c r="E32" s="36">
        <f>'ציוד מיוחד'!J24</f>
        <v>0</v>
      </c>
      <c r="F32" s="337" t="str">
        <f>IF(MAX('ציוד מיוחד'!K6:K24)&gt;0,"חריגות","")</f>
        <v/>
      </c>
      <c r="H32" s="111"/>
    </row>
    <row r="33" spans="2:8" s="107" customFormat="1" x14ac:dyDescent="0.25">
      <c r="B33" s="106"/>
      <c r="C33" s="114">
        <f>'תוכן עניינים'!B19</f>
        <v>6</v>
      </c>
      <c r="D33" s="115" t="str">
        <f>'תוכן עניינים'!C19</f>
        <v>ציוד מתקנים אחרים</v>
      </c>
      <c r="E33" s="36">
        <f>'ציוד מתקנים אחרים'!L29</f>
        <v>0</v>
      </c>
      <c r="H33" s="111"/>
    </row>
    <row r="34" spans="2:8" s="107" customFormat="1" x14ac:dyDescent="0.25">
      <c r="B34" s="106"/>
      <c r="C34" s="114">
        <f>'ציוד נוסף'!A2</f>
        <v>7</v>
      </c>
      <c r="D34" s="115" t="str">
        <f>'ציוד נוסף'!B2</f>
        <v>ציוד נוסף שלא קיים בתקן</v>
      </c>
      <c r="E34" s="36">
        <f>'ציוד נוסף'!P29</f>
        <v>0</v>
      </c>
      <c r="H34" s="111"/>
    </row>
    <row r="35" spans="2:8" s="107" customFormat="1" x14ac:dyDescent="0.25">
      <c r="B35" s="106"/>
      <c r="C35" s="116"/>
      <c r="D35" s="117" t="s">
        <v>470</v>
      </c>
      <c r="E35" s="36">
        <f>SUM(E17:E34)</f>
        <v>0</v>
      </c>
      <c r="H35" s="111"/>
    </row>
    <row r="36" spans="2:8" s="107" customFormat="1" x14ac:dyDescent="0.25">
      <c r="B36" s="106"/>
      <c r="D36" s="112"/>
      <c r="E36" s="112"/>
      <c r="F36" s="118"/>
      <c r="H36" s="111"/>
    </row>
    <row r="37" spans="2:8" s="107" customFormat="1" hidden="1" outlineLevel="1" x14ac:dyDescent="0.25">
      <c r="B37" s="106"/>
      <c r="D37" s="119" t="s">
        <v>471</v>
      </c>
      <c r="E37" s="120"/>
      <c r="F37" s="121"/>
      <c r="G37" s="120"/>
      <c r="H37" s="111"/>
    </row>
    <row r="38" spans="2:8" s="107" customFormat="1" hidden="1" outlineLevel="1" x14ac:dyDescent="0.25">
      <c r="B38" s="106"/>
      <c r="C38" s="116"/>
      <c r="D38" s="122" t="s">
        <v>472</v>
      </c>
      <c r="E38" s="123" t="s">
        <v>473</v>
      </c>
      <c r="F38" s="37" t="s">
        <v>474</v>
      </c>
      <c r="G38" s="120"/>
      <c r="H38" s="111"/>
    </row>
    <row r="39" spans="2:8" s="107" customFormat="1" ht="14.25" hidden="1" customHeight="1" outlineLevel="1" x14ac:dyDescent="0.25">
      <c r="B39" s="106"/>
      <c r="C39" s="116"/>
      <c r="D39" s="124" t="s">
        <v>475</v>
      </c>
      <c r="E39" s="38">
        <f>IF(G6="כן",50%,IF(G5="כן",90%,IF(G4&lt;=4,90%,IF(G4&lt;8,80%,70%))))</f>
        <v>0.7</v>
      </c>
      <c r="F39" s="37">
        <f>$E$35*E39</f>
        <v>0</v>
      </c>
      <c r="G39" s="120"/>
      <c r="H39" s="111"/>
    </row>
    <row r="40" spans="2:8" s="107" customFormat="1" hidden="1" outlineLevel="1" x14ac:dyDescent="0.25">
      <c r="B40" s="106"/>
      <c r="C40" s="116"/>
      <c r="D40" s="122" t="s">
        <v>476</v>
      </c>
      <c r="E40" s="125">
        <f>100%-E39</f>
        <v>0.30000000000000004</v>
      </c>
      <c r="F40" s="37">
        <f>$E$35*E40</f>
        <v>0</v>
      </c>
      <c r="G40" s="120"/>
      <c r="H40" s="111"/>
    </row>
    <row r="41" spans="2:8" s="107" customFormat="1" hidden="1" outlineLevel="1" x14ac:dyDescent="0.25">
      <c r="B41" s="106"/>
      <c r="C41" s="116"/>
      <c r="D41" s="122" t="s">
        <v>477</v>
      </c>
      <c r="E41" s="125">
        <f>SUM(E39:E40)</f>
        <v>1</v>
      </c>
      <c r="F41" s="37">
        <f>SUM(F39:F40)</f>
        <v>0</v>
      </c>
      <c r="G41" s="120"/>
      <c r="H41" s="111"/>
    </row>
    <row r="42" spans="2:8" s="107" customFormat="1" hidden="1" outlineLevel="1" x14ac:dyDescent="0.25">
      <c r="B42" s="106"/>
      <c r="D42" s="120"/>
      <c r="E42" s="120"/>
      <c r="F42" s="121"/>
      <c r="G42" s="120"/>
      <c r="H42" s="111"/>
    </row>
    <row r="43" spans="2:8" s="107" customFormat="1" hidden="1" outlineLevel="1" x14ac:dyDescent="0.25">
      <c r="B43" s="106"/>
      <c r="D43" s="119" t="s">
        <v>478</v>
      </c>
      <c r="E43" s="120"/>
      <c r="F43" s="121"/>
      <c r="G43" s="120"/>
      <c r="H43" s="111"/>
    </row>
    <row r="44" spans="2:8" s="107" customFormat="1" hidden="1" outlineLevel="1" x14ac:dyDescent="0.25">
      <c r="B44" s="106"/>
      <c r="C44" s="116"/>
      <c r="D44" s="122" t="s">
        <v>472</v>
      </c>
      <c r="E44" s="123" t="s">
        <v>473</v>
      </c>
      <c r="F44" s="37" t="s">
        <v>474</v>
      </c>
      <c r="G44" s="120"/>
      <c r="H44" s="111"/>
    </row>
    <row r="45" spans="2:8" s="107" customFormat="1" hidden="1" outlineLevel="1" x14ac:dyDescent="0.25">
      <c r="B45" s="106"/>
      <c r="C45" s="116"/>
      <c r="D45" s="124" t="s">
        <v>479</v>
      </c>
      <c r="E45" s="125" t="str">
        <f>IF($F$45=0,"",IF($F$39&lt;$F$45,"",ROUNDUP(F45/E$35,4)))</f>
        <v/>
      </c>
      <c r="F45" s="126">
        <f>G7</f>
        <v>1000000</v>
      </c>
      <c r="G45" s="120"/>
      <c r="H45" s="111"/>
    </row>
    <row r="46" spans="2:8" s="107" customFormat="1" hidden="1" outlineLevel="1" x14ac:dyDescent="0.25">
      <c r="B46" s="106"/>
      <c r="C46" s="116"/>
      <c r="D46" s="122" t="s">
        <v>476</v>
      </c>
      <c r="E46" s="125" t="str">
        <f>IF($F$45=0,"",IF($F$39&lt;$F$45,"",ROUNDDOWN(F46/E$35,4)))</f>
        <v/>
      </c>
      <c r="F46" s="37" t="str">
        <f>IF($F$39&lt;$F$45,"",(F47-F45))</f>
        <v/>
      </c>
      <c r="G46" s="120"/>
      <c r="H46" s="111"/>
    </row>
    <row r="47" spans="2:8" s="107" customFormat="1" hidden="1" outlineLevel="1" x14ac:dyDescent="0.25">
      <c r="B47" s="106"/>
      <c r="C47" s="116"/>
      <c r="D47" s="122" t="s">
        <v>477</v>
      </c>
      <c r="E47" s="125" t="str">
        <f>IF($F$39&lt;$F$45,"",SUM(E45:E46))</f>
        <v/>
      </c>
      <c r="F47" s="37" t="str">
        <f>IF($F$39&lt;$F$45,"",E35)</f>
        <v/>
      </c>
      <c r="G47" s="120"/>
      <c r="H47" s="111"/>
    </row>
    <row r="48" spans="2:8" s="107" customFormat="1" hidden="1" outlineLevel="1" x14ac:dyDescent="0.25">
      <c r="B48" s="106"/>
      <c r="D48" s="120"/>
      <c r="E48" s="127"/>
      <c r="F48" s="39"/>
      <c r="G48" s="120"/>
      <c r="H48" s="111"/>
    </row>
    <row r="49" spans="2:8" s="107" customFormat="1" ht="22.5" collapsed="1" x14ac:dyDescent="0.3">
      <c r="B49" s="106"/>
      <c r="D49" s="128" t="s">
        <v>480</v>
      </c>
      <c r="E49" s="129"/>
      <c r="F49" s="130"/>
      <c r="G49" s="120"/>
      <c r="H49" s="111"/>
    </row>
    <row r="50" spans="2:8" s="107" customFormat="1" x14ac:dyDescent="0.25">
      <c r="B50" s="106"/>
      <c r="D50" s="131" t="s">
        <v>481</v>
      </c>
      <c r="E50" s="131"/>
      <c r="F50" s="132"/>
      <c r="G50" s="120"/>
      <c r="H50" s="111"/>
    </row>
    <row r="51" spans="2:8" s="107" customFormat="1" x14ac:dyDescent="0.25">
      <c r="B51" s="106"/>
      <c r="C51" s="116"/>
      <c r="D51" s="133" t="s">
        <v>472</v>
      </c>
      <c r="E51" s="134" t="s">
        <v>473</v>
      </c>
      <c r="F51" s="40" t="s">
        <v>474</v>
      </c>
      <c r="G51" s="120"/>
      <c r="H51" s="111"/>
    </row>
    <row r="52" spans="2:8" s="107" customFormat="1" ht="23.45" customHeight="1" x14ac:dyDescent="0.3">
      <c r="B52" s="106"/>
      <c r="C52" s="116"/>
      <c r="D52" s="135" t="s">
        <v>475</v>
      </c>
      <c r="E52" s="136" t="str">
        <f>IF(F52=0,"",ROUNDUP(F52/E$35,4))</f>
        <v/>
      </c>
      <c r="F52" s="41">
        <f>MIN(F39,F45)</f>
        <v>0</v>
      </c>
      <c r="G52" s="119"/>
      <c r="H52" s="111"/>
    </row>
    <row r="53" spans="2:8" s="107" customFormat="1" ht="20.25" x14ac:dyDescent="0.3">
      <c r="B53" s="106"/>
      <c r="C53" s="116"/>
      <c r="D53" s="137" t="s">
        <v>476</v>
      </c>
      <c r="E53" s="136" t="str">
        <f>IF(F53=0,"",ROUNDDOWN(F53/E$35,4))</f>
        <v/>
      </c>
      <c r="F53" s="41">
        <f>F54-F52</f>
        <v>0</v>
      </c>
      <c r="G53" s="120"/>
      <c r="H53" s="111"/>
    </row>
    <row r="54" spans="2:8" s="107" customFormat="1" ht="20.25" x14ac:dyDescent="0.3">
      <c r="B54" s="106"/>
      <c r="C54" s="116"/>
      <c r="D54" s="137" t="s">
        <v>477</v>
      </c>
      <c r="E54" s="136" t="str">
        <f>IF(F54=0,"",SUM(E52:E53))</f>
        <v/>
      </c>
      <c r="F54" s="41">
        <f>E35</f>
        <v>0</v>
      </c>
      <c r="G54" s="120"/>
      <c r="H54" s="111"/>
    </row>
    <row r="55" spans="2:8" s="107" customFormat="1" x14ac:dyDescent="0.25">
      <c r="B55" s="106"/>
      <c r="C55" s="311" t="str">
        <f>IF(('שאלון למילוי הגוף-חובה'!D30+'שאלון למילוי הגוף-חובה'!D33)&lt;1,"יש למלא את מספר החדרים","")</f>
        <v>יש למלא את מספר החדרים</v>
      </c>
      <c r="D55" s="138"/>
      <c r="H55" s="111"/>
    </row>
    <row r="56" spans="2:8" s="107" customFormat="1" x14ac:dyDescent="0.25">
      <c r="B56" s="106"/>
      <c r="C56" s="311" t="str">
        <f>IF('שאלון למילוי הגוף-חובה'!D36&lt;1,"יש למלא את מספר חדרי השינה","")</f>
        <v>יש למלא את מספר חדרי השינה</v>
      </c>
      <c r="D56" s="138"/>
      <c r="H56" s="111"/>
    </row>
    <row r="57" spans="2:8" s="107" customFormat="1" x14ac:dyDescent="0.25">
      <c r="B57" s="139"/>
      <c r="C57" s="312" t="str">
        <f>IF('שאלון למילוי הגוף-חובה'!D37&lt;1,"יש למלא את מספר הדיירים","")</f>
        <v>יש למלא את מספר הדיירים</v>
      </c>
      <c r="D57" s="140"/>
      <c r="E57" s="140"/>
      <c r="F57" s="140"/>
      <c r="G57" s="140"/>
      <c r="H57" s="141"/>
    </row>
  </sheetData>
  <sheetProtection password="CC3D" sheet="1" formatCells="0" formatColumns="0" formatRows="0"/>
  <dataConsolidate/>
  <pageMargins left="0.70866141732283472" right="0.70866141732283472"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60"/>
  <sheetViews>
    <sheetView rightToLeft="1" zoomScaleNormal="100" workbookViewId="0">
      <pane xSplit="1" ySplit="3" topLeftCell="B4" activePane="bottomRight" state="frozen"/>
      <selection pane="topRight" activeCell="B1" sqref="B1"/>
      <selection pane="bottomLeft" activeCell="A4" sqref="A4"/>
      <selection pane="bottomRight"/>
    </sheetView>
  </sheetViews>
  <sheetFormatPr defaultRowHeight="14.25" x14ac:dyDescent="0.2"/>
  <cols>
    <col min="1" max="1" width="19" style="33" customWidth="1"/>
    <col min="2" max="2" width="9.125" customWidth="1"/>
    <col min="3" max="3" width="8.75" customWidth="1"/>
    <col min="4" max="4" width="4.75" bestFit="1" customWidth="1"/>
    <col min="5" max="5" width="8.625" bestFit="1" customWidth="1"/>
    <col min="6" max="6" width="9.25" customWidth="1"/>
    <col min="7" max="7" width="9.25" bestFit="1" customWidth="1"/>
    <col min="8" max="8" width="4.75" bestFit="1" customWidth="1"/>
    <col min="9" max="9" width="8.625" bestFit="1" customWidth="1"/>
    <col min="10" max="10" width="11.25" customWidth="1"/>
    <col min="11" max="11" width="7.375" bestFit="1" customWidth="1"/>
    <col min="12" max="12" width="4.75" bestFit="1" customWidth="1"/>
    <col min="13" max="13" width="9.875" bestFit="1" customWidth="1"/>
    <col min="14" max="14" width="8.625" customWidth="1"/>
  </cols>
  <sheetData>
    <row r="1" spans="1:23" ht="15.75" thickBot="1" x14ac:dyDescent="0.3">
      <c r="A1" s="30" t="s">
        <v>11</v>
      </c>
      <c r="B1" s="28"/>
      <c r="C1" s="28"/>
      <c r="D1" s="28"/>
      <c r="E1" s="28"/>
      <c r="F1" s="28"/>
      <c r="G1" s="28"/>
      <c r="H1" s="28"/>
      <c r="I1" s="28"/>
      <c r="J1" s="28"/>
      <c r="K1" s="28"/>
      <c r="L1" s="28"/>
      <c r="M1" s="28"/>
      <c r="W1" s="1"/>
    </row>
    <row r="2" spans="1:23" x14ac:dyDescent="0.2">
      <c r="A2" s="53" t="s">
        <v>12</v>
      </c>
      <c r="B2" s="50" t="s">
        <v>13</v>
      </c>
      <c r="C2" s="51"/>
      <c r="D2" s="51"/>
      <c r="E2" s="52"/>
      <c r="F2" s="50" t="s">
        <v>14</v>
      </c>
      <c r="G2" s="51"/>
      <c r="H2" s="51"/>
      <c r="I2" s="52"/>
      <c r="J2" s="50" t="s">
        <v>15</v>
      </c>
      <c r="K2" s="51"/>
      <c r="L2" s="51"/>
      <c r="M2" s="52"/>
      <c r="N2" s="50" t="s">
        <v>16</v>
      </c>
      <c r="O2" s="51"/>
      <c r="P2" s="51"/>
      <c r="Q2" s="52"/>
      <c r="R2" s="50" t="s">
        <v>17</v>
      </c>
      <c r="S2" s="51"/>
      <c r="T2" s="51"/>
      <c r="U2" s="52"/>
    </row>
    <row r="3" spans="1:23" ht="25.5" x14ac:dyDescent="0.2">
      <c r="A3" s="54"/>
      <c r="B3" s="18" t="s">
        <v>18</v>
      </c>
      <c r="C3" s="18" t="s">
        <v>19</v>
      </c>
      <c r="D3" s="18" t="s">
        <v>20</v>
      </c>
      <c r="E3" s="18" t="s">
        <v>21</v>
      </c>
      <c r="F3" s="18" t="s">
        <v>18</v>
      </c>
      <c r="G3" s="18" t="s">
        <v>19</v>
      </c>
      <c r="H3" s="18" t="s">
        <v>20</v>
      </c>
      <c r="I3" s="18" t="s">
        <v>21</v>
      </c>
      <c r="J3" s="18" t="s">
        <v>18</v>
      </c>
      <c r="K3" s="18" t="s">
        <v>19</v>
      </c>
      <c r="L3" s="18" t="s">
        <v>20</v>
      </c>
      <c r="M3" s="18" t="s">
        <v>21</v>
      </c>
      <c r="N3" s="18" t="s">
        <v>18</v>
      </c>
      <c r="O3" s="18" t="s">
        <v>19</v>
      </c>
      <c r="P3" s="18" t="s">
        <v>20</v>
      </c>
      <c r="Q3" s="18" t="s">
        <v>21</v>
      </c>
      <c r="R3" s="18" t="s">
        <v>18</v>
      </c>
      <c r="S3" s="18" t="s">
        <v>19</v>
      </c>
      <c r="T3" s="18" t="s">
        <v>20</v>
      </c>
      <c r="U3" s="19" t="s">
        <v>21</v>
      </c>
    </row>
    <row r="4" spans="1:23" x14ac:dyDescent="0.2">
      <c r="A4" s="63" t="s">
        <v>22</v>
      </c>
      <c r="B4" s="2" t="s">
        <v>23</v>
      </c>
      <c r="C4" s="4">
        <v>4000</v>
      </c>
      <c r="D4" s="5">
        <v>1</v>
      </c>
      <c r="E4" s="4">
        <f>C4*D4</f>
        <v>4000</v>
      </c>
      <c r="F4" s="2" t="s">
        <v>23</v>
      </c>
      <c r="G4" s="4">
        <v>5000</v>
      </c>
      <c r="H4" s="5">
        <v>1</v>
      </c>
      <c r="I4" s="4">
        <f t="shared" ref="I4:I18" si="0">G4*H4</f>
        <v>5000</v>
      </c>
      <c r="J4" s="2" t="s">
        <v>23</v>
      </c>
      <c r="K4" s="4">
        <v>6000</v>
      </c>
      <c r="L4" s="5">
        <v>1</v>
      </c>
      <c r="M4" s="4">
        <f t="shared" ref="M4:M18" si="1">K4*L4</f>
        <v>6000</v>
      </c>
      <c r="N4" s="2" t="s">
        <v>23</v>
      </c>
      <c r="O4" s="12">
        <v>10000</v>
      </c>
      <c r="P4" s="5">
        <v>1</v>
      </c>
      <c r="Q4" s="4">
        <f>P4*O4</f>
        <v>10000</v>
      </c>
      <c r="R4" s="2" t="s">
        <v>23</v>
      </c>
      <c r="S4" s="4">
        <v>12000</v>
      </c>
      <c r="T4" s="5">
        <v>1</v>
      </c>
      <c r="U4" s="20">
        <f>T4*S4</f>
        <v>12000</v>
      </c>
    </row>
    <row r="5" spans="1:23" x14ac:dyDescent="0.2">
      <c r="A5" s="63" t="s">
        <v>24</v>
      </c>
      <c r="B5" s="11" t="s">
        <v>23</v>
      </c>
      <c r="C5" s="12">
        <v>1500</v>
      </c>
      <c r="D5" s="13">
        <v>1</v>
      </c>
      <c r="E5" s="12">
        <f t="shared" ref="E5:E18" si="2">C5*D5</f>
        <v>1500</v>
      </c>
      <c r="F5" s="11" t="s">
        <v>23</v>
      </c>
      <c r="G5" s="12">
        <v>1500</v>
      </c>
      <c r="H5" s="13">
        <v>1</v>
      </c>
      <c r="I5" s="12">
        <f t="shared" si="0"/>
        <v>1500</v>
      </c>
      <c r="J5" s="11" t="s">
        <v>23</v>
      </c>
      <c r="K5" s="12">
        <v>2000</v>
      </c>
      <c r="L5" s="13">
        <v>1</v>
      </c>
      <c r="M5" s="12">
        <f t="shared" si="1"/>
        <v>2000</v>
      </c>
      <c r="N5" s="11" t="s">
        <v>23</v>
      </c>
      <c r="O5" s="12">
        <v>3000</v>
      </c>
      <c r="P5" s="13">
        <v>2</v>
      </c>
      <c r="Q5" s="12">
        <f t="shared" ref="Q5:Q18" si="3">P5*O5</f>
        <v>6000</v>
      </c>
      <c r="R5" s="11" t="s">
        <v>23</v>
      </c>
      <c r="S5" s="12">
        <v>3000</v>
      </c>
      <c r="T5" s="13">
        <v>2</v>
      </c>
      <c r="U5" s="60">
        <f t="shared" ref="U5:U18" si="4">T5*S5</f>
        <v>6000</v>
      </c>
    </row>
    <row r="6" spans="1:23" x14ac:dyDescent="0.2">
      <c r="A6" s="63" t="s">
        <v>25</v>
      </c>
      <c r="B6" s="2" t="s">
        <v>23</v>
      </c>
      <c r="C6" s="4">
        <v>2000</v>
      </c>
      <c r="D6" s="5">
        <v>1</v>
      </c>
      <c r="E6" s="4">
        <f t="shared" si="2"/>
        <v>2000</v>
      </c>
      <c r="F6" s="2" t="s">
        <v>23</v>
      </c>
      <c r="G6" s="4">
        <v>2000</v>
      </c>
      <c r="H6" s="5">
        <v>1</v>
      </c>
      <c r="I6" s="4">
        <f t="shared" si="0"/>
        <v>2000</v>
      </c>
      <c r="J6" s="2" t="s">
        <v>23</v>
      </c>
      <c r="K6" s="4">
        <v>2000</v>
      </c>
      <c r="L6" s="5">
        <v>1</v>
      </c>
      <c r="M6" s="4">
        <f t="shared" si="1"/>
        <v>2000</v>
      </c>
      <c r="N6" s="2" t="s">
        <v>26</v>
      </c>
      <c r="O6" s="12">
        <v>4000</v>
      </c>
      <c r="P6" s="5">
        <v>1</v>
      </c>
      <c r="Q6" s="4">
        <f t="shared" si="3"/>
        <v>4000</v>
      </c>
      <c r="R6" s="2" t="s">
        <v>26</v>
      </c>
      <c r="S6" s="4">
        <v>4000</v>
      </c>
      <c r="T6" s="5">
        <v>1</v>
      </c>
      <c r="U6" s="20">
        <f t="shared" si="4"/>
        <v>4000</v>
      </c>
    </row>
    <row r="7" spans="1:23" ht="34.5" customHeight="1" x14ac:dyDescent="0.25">
      <c r="A7" s="63" t="s">
        <v>27</v>
      </c>
      <c r="B7" s="2" t="s">
        <v>28</v>
      </c>
      <c r="C7" s="4">
        <v>8000</v>
      </c>
      <c r="D7" s="5">
        <v>1</v>
      </c>
      <c r="E7" s="4">
        <f t="shared" si="2"/>
        <v>8000</v>
      </c>
      <c r="F7" s="2" t="s">
        <v>29</v>
      </c>
      <c r="G7" s="4">
        <v>8000</v>
      </c>
      <c r="H7" s="5">
        <v>1</v>
      </c>
      <c r="I7" s="4">
        <f t="shared" si="0"/>
        <v>8000</v>
      </c>
      <c r="J7" s="2" t="s">
        <v>29</v>
      </c>
      <c r="K7" s="4">
        <v>10000</v>
      </c>
      <c r="L7" s="5">
        <v>1</v>
      </c>
      <c r="M7" s="4">
        <f t="shared" si="1"/>
        <v>10000</v>
      </c>
      <c r="N7" s="2" t="s">
        <v>30</v>
      </c>
      <c r="O7" s="12">
        <v>12000</v>
      </c>
      <c r="P7" s="5">
        <v>1</v>
      </c>
      <c r="Q7" s="4">
        <f t="shared" si="3"/>
        <v>12000</v>
      </c>
      <c r="R7" s="2" t="s">
        <v>30</v>
      </c>
      <c r="S7" s="4">
        <v>12000</v>
      </c>
      <c r="T7" s="5">
        <v>1</v>
      </c>
      <c r="U7" s="20">
        <f t="shared" si="4"/>
        <v>12000</v>
      </c>
      <c r="W7" s="1"/>
    </row>
    <row r="8" spans="1:23" x14ac:dyDescent="0.2">
      <c r="A8" s="57" t="s">
        <v>31</v>
      </c>
      <c r="B8" s="11" t="s">
        <v>23</v>
      </c>
      <c r="C8" s="12">
        <v>200</v>
      </c>
      <c r="D8" s="13">
        <v>1</v>
      </c>
      <c r="E8" s="12">
        <f t="shared" si="2"/>
        <v>200</v>
      </c>
      <c r="F8" s="11" t="s">
        <v>23</v>
      </c>
      <c r="G8" s="12">
        <v>200</v>
      </c>
      <c r="H8" s="13">
        <v>1</v>
      </c>
      <c r="I8" s="12">
        <f t="shared" si="0"/>
        <v>200</v>
      </c>
      <c r="J8" s="11" t="s">
        <v>23</v>
      </c>
      <c r="K8" s="12">
        <v>200</v>
      </c>
      <c r="L8" s="13">
        <v>2</v>
      </c>
      <c r="M8" s="12">
        <f t="shared" si="1"/>
        <v>400</v>
      </c>
      <c r="N8" s="11" t="s">
        <v>23</v>
      </c>
      <c r="O8" s="12">
        <v>200</v>
      </c>
      <c r="P8" s="13">
        <v>3</v>
      </c>
      <c r="Q8" s="12">
        <f t="shared" si="3"/>
        <v>600</v>
      </c>
      <c r="R8" s="11" t="s">
        <v>23</v>
      </c>
      <c r="S8" s="12">
        <v>200</v>
      </c>
      <c r="T8" s="13">
        <v>4</v>
      </c>
      <c r="U8" s="60">
        <f t="shared" si="4"/>
        <v>800</v>
      </c>
    </row>
    <row r="9" spans="1:23" x14ac:dyDescent="0.2">
      <c r="A9" s="57" t="s">
        <v>32</v>
      </c>
      <c r="B9" s="11" t="s">
        <v>23</v>
      </c>
      <c r="C9" s="12">
        <v>200</v>
      </c>
      <c r="D9" s="13">
        <v>1</v>
      </c>
      <c r="E9" s="12">
        <f t="shared" si="2"/>
        <v>200</v>
      </c>
      <c r="F9" s="11" t="s">
        <v>23</v>
      </c>
      <c r="G9" s="12">
        <v>200</v>
      </c>
      <c r="H9" s="13">
        <v>1</v>
      </c>
      <c r="I9" s="12">
        <f t="shared" si="0"/>
        <v>200</v>
      </c>
      <c r="J9" s="11" t="s">
        <v>23</v>
      </c>
      <c r="K9" s="12">
        <v>200</v>
      </c>
      <c r="L9" s="13">
        <v>1</v>
      </c>
      <c r="M9" s="12">
        <f t="shared" si="1"/>
        <v>200</v>
      </c>
      <c r="N9" s="11" t="s">
        <v>23</v>
      </c>
      <c r="O9" s="12">
        <v>200</v>
      </c>
      <c r="P9" s="13">
        <v>2</v>
      </c>
      <c r="Q9" s="12">
        <f t="shared" si="3"/>
        <v>400</v>
      </c>
      <c r="R9" s="11" t="s">
        <v>23</v>
      </c>
      <c r="S9" s="12">
        <v>200</v>
      </c>
      <c r="T9" s="13">
        <v>2</v>
      </c>
      <c r="U9" s="60">
        <f t="shared" si="4"/>
        <v>400</v>
      </c>
    </row>
    <row r="10" spans="1:23" ht="17.25" customHeight="1" x14ac:dyDescent="0.2">
      <c r="A10" s="57" t="s">
        <v>33</v>
      </c>
      <c r="B10" s="2" t="s">
        <v>23</v>
      </c>
      <c r="C10" s="4">
        <v>3000</v>
      </c>
      <c r="D10" s="5">
        <v>1</v>
      </c>
      <c r="E10" s="4">
        <f t="shared" si="2"/>
        <v>3000</v>
      </c>
      <c r="F10" s="2" t="s">
        <v>23</v>
      </c>
      <c r="G10" s="4">
        <v>3000</v>
      </c>
      <c r="H10" s="5">
        <v>1</v>
      </c>
      <c r="I10" s="4">
        <f t="shared" si="0"/>
        <v>3000</v>
      </c>
      <c r="J10" s="2" t="s">
        <v>23</v>
      </c>
      <c r="K10" s="4">
        <v>3000</v>
      </c>
      <c r="L10" s="5">
        <v>1</v>
      </c>
      <c r="M10" s="4">
        <f t="shared" si="1"/>
        <v>3000</v>
      </c>
      <c r="N10" s="2" t="s">
        <v>34</v>
      </c>
      <c r="O10" s="12">
        <v>10000</v>
      </c>
      <c r="P10" s="5">
        <v>1</v>
      </c>
      <c r="Q10" s="4">
        <f t="shared" si="3"/>
        <v>10000</v>
      </c>
      <c r="R10" s="2" t="s">
        <v>34</v>
      </c>
      <c r="S10" s="4">
        <v>12000</v>
      </c>
      <c r="T10" s="5">
        <v>1</v>
      </c>
      <c r="U10" s="20">
        <f t="shared" si="4"/>
        <v>12000</v>
      </c>
    </row>
    <row r="11" spans="1:23" x14ac:dyDescent="0.2">
      <c r="A11" s="57" t="s">
        <v>35</v>
      </c>
      <c r="B11" s="2" t="s">
        <v>23</v>
      </c>
      <c r="C11" s="4">
        <v>4500</v>
      </c>
      <c r="D11" s="5">
        <v>1</v>
      </c>
      <c r="E11" s="4">
        <f t="shared" si="2"/>
        <v>4500</v>
      </c>
      <c r="F11" s="2" t="s">
        <v>23</v>
      </c>
      <c r="G11" s="4">
        <v>4500</v>
      </c>
      <c r="H11" s="5">
        <v>1</v>
      </c>
      <c r="I11" s="4">
        <f t="shared" si="0"/>
        <v>4500</v>
      </c>
      <c r="J11" s="2" t="s">
        <v>23</v>
      </c>
      <c r="K11" s="4">
        <v>4500</v>
      </c>
      <c r="L11" s="5">
        <v>1</v>
      </c>
      <c r="M11" s="4">
        <f t="shared" si="1"/>
        <v>4500</v>
      </c>
      <c r="N11" s="2" t="s">
        <v>23</v>
      </c>
      <c r="O11" s="12">
        <v>10000</v>
      </c>
      <c r="P11" s="5">
        <v>1</v>
      </c>
      <c r="Q11" s="4">
        <f t="shared" si="3"/>
        <v>10000</v>
      </c>
      <c r="R11" s="2" t="s">
        <v>23</v>
      </c>
      <c r="S11" s="4">
        <v>10000</v>
      </c>
      <c r="T11" s="5">
        <v>1</v>
      </c>
      <c r="U11" s="20">
        <f t="shared" si="4"/>
        <v>10000</v>
      </c>
    </row>
    <row r="12" spans="1:23" x14ac:dyDescent="0.2">
      <c r="A12" s="57" t="s">
        <v>36</v>
      </c>
      <c r="B12" s="11" t="s">
        <v>23</v>
      </c>
      <c r="C12" s="12">
        <v>500</v>
      </c>
      <c r="D12" s="13">
        <v>1</v>
      </c>
      <c r="E12" s="12">
        <f t="shared" si="2"/>
        <v>500</v>
      </c>
      <c r="F12" s="11" t="s">
        <v>23</v>
      </c>
      <c r="G12" s="12">
        <v>500</v>
      </c>
      <c r="H12" s="13">
        <v>1</v>
      </c>
      <c r="I12" s="12">
        <f t="shared" si="0"/>
        <v>500</v>
      </c>
      <c r="J12" s="11" t="s">
        <v>23</v>
      </c>
      <c r="K12" s="12">
        <v>500</v>
      </c>
      <c r="L12" s="13">
        <v>1</v>
      </c>
      <c r="M12" s="12">
        <f t="shared" si="1"/>
        <v>500</v>
      </c>
      <c r="N12" s="11" t="s">
        <v>23</v>
      </c>
      <c r="O12" s="12">
        <v>500</v>
      </c>
      <c r="P12" s="13">
        <v>1</v>
      </c>
      <c r="Q12" s="12">
        <f t="shared" si="3"/>
        <v>500</v>
      </c>
      <c r="R12" s="11" t="s">
        <v>23</v>
      </c>
      <c r="S12" s="12">
        <v>500</v>
      </c>
      <c r="T12" s="13">
        <v>1</v>
      </c>
      <c r="U12" s="60">
        <f t="shared" si="4"/>
        <v>500</v>
      </c>
    </row>
    <row r="13" spans="1:23" x14ac:dyDescent="0.2">
      <c r="A13" s="57" t="s">
        <v>37</v>
      </c>
      <c r="B13" s="2" t="s">
        <v>23</v>
      </c>
      <c r="C13" s="4">
        <v>3500</v>
      </c>
      <c r="D13" s="5">
        <v>1</v>
      </c>
      <c r="E13" s="4">
        <f t="shared" si="2"/>
        <v>3500</v>
      </c>
      <c r="F13" s="2" t="s">
        <v>23</v>
      </c>
      <c r="G13" s="4">
        <v>3500</v>
      </c>
      <c r="H13" s="5">
        <v>1</v>
      </c>
      <c r="I13" s="4">
        <f t="shared" ref="I13" si="5">G13*H13</f>
        <v>3500</v>
      </c>
      <c r="J13" s="2" t="s">
        <v>23</v>
      </c>
      <c r="K13" s="4">
        <v>3500</v>
      </c>
      <c r="L13" s="5">
        <v>1</v>
      </c>
      <c r="M13" s="4">
        <f t="shared" si="1"/>
        <v>3500</v>
      </c>
      <c r="N13" s="2" t="s">
        <v>23</v>
      </c>
      <c r="O13" s="12">
        <v>3500</v>
      </c>
      <c r="P13" s="5">
        <v>1</v>
      </c>
      <c r="Q13" s="4">
        <f t="shared" si="3"/>
        <v>3500</v>
      </c>
      <c r="R13" s="2" t="s">
        <v>23</v>
      </c>
      <c r="S13" s="4">
        <v>3500</v>
      </c>
      <c r="T13" s="5">
        <v>1</v>
      </c>
      <c r="U13" s="20">
        <f t="shared" si="4"/>
        <v>3500</v>
      </c>
    </row>
    <row r="14" spans="1:23" ht="25.5" x14ac:dyDescent="0.2">
      <c r="A14" s="57" t="s">
        <v>38</v>
      </c>
      <c r="B14" s="11" t="s">
        <v>39</v>
      </c>
      <c r="C14" s="12">
        <v>8000</v>
      </c>
      <c r="D14" s="13">
        <v>1</v>
      </c>
      <c r="E14" s="12">
        <f t="shared" si="2"/>
        <v>8000</v>
      </c>
      <c r="F14" s="11" t="s">
        <v>40</v>
      </c>
      <c r="G14" s="12">
        <v>9000</v>
      </c>
      <c r="H14" s="13">
        <v>1</v>
      </c>
      <c r="I14" s="12">
        <f t="shared" si="0"/>
        <v>9000</v>
      </c>
      <c r="J14" s="11" t="s">
        <v>41</v>
      </c>
      <c r="K14" s="12">
        <v>10000</v>
      </c>
      <c r="L14" s="13">
        <v>1</v>
      </c>
      <c r="M14" s="12">
        <f t="shared" si="1"/>
        <v>10000</v>
      </c>
      <c r="N14" s="11" t="s">
        <v>42</v>
      </c>
      <c r="O14" s="12">
        <v>10000</v>
      </c>
      <c r="P14" s="13">
        <v>2</v>
      </c>
      <c r="Q14" s="12">
        <f t="shared" si="3"/>
        <v>20000</v>
      </c>
      <c r="R14" s="11" t="s">
        <v>42</v>
      </c>
      <c r="S14" s="12">
        <v>10000</v>
      </c>
      <c r="T14" s="13">
        <v>3</v>
      </c>
      <c r="U14" s="60">
        <f t="shared" si="4"/>
        <v>30000</v>
      </c>
    </row>
    <row r="15" spans="1:23" x14ac:dyDescent="0.2">
      <c r="A15" s="57" t="s">
        <v>43</v>
      </c>
      <c r="B15" s="2" t="s">
        <v>44</v>
      </c>
      <c r="C15" s="4">
        <v>4000</v>
      </c>
      <c r="D15" s="5">
        <v>1</v>
      </c>
      <c r="E15" s="4">
        <f t="shared" si="2"/>
        <v>4000</v>
      </c>
      <c r="F15" s="2" t="s">
        <v>44</v>
      </c>
      <c r="G15" s="4">
        <v>4000</v>
      </c>
      <c r="H15" s="5">
        <v>1</v>
      </c>
      <c r="I15" s="4">
        <f t="shared" si="0"/>
        <v>4000</v>
      </c>
      <c r="J15" s="2" t="s">
        <v>44</v>
      </c>
      <c r="K15" s="4">
        <v>4000</v>
      </c>
      <c r="L15" s="5">
        <v>1</v>
      </c>
      <c r="M15" s="4">
        <f t="shared" si="1"/>
        <v>4000</v>
      </c>
      <c r="N15" s="2" t="s">
        <v>45</v>
      </c>
      <c r="O15" s="12">
        <v>12000</v>
      </c>
      <c r="P15" s="5">
        <v>1</v>
      </c>
      <c r="Q15" s="4">
        <f t="shared" si="3"/>
        <v>12000</v>
      </c>
      <c r="R15" s="2" t="s">
        <v>45</v>
      </c>
      <c r="S15" s="4">
        <v>12000</v>
      </c>
      <c r="T15" s="5">
        <v>1</v>
      </c>
      <c r="U15" s="20">
        <f t="shared" si="4"/>
        <v>12000</v>
      </c>
    </row>
    <row r="16" spans="1:23" x14ac:dyDescent="0.2">
      <c r="A16" s="57" t="s">
        <v>46</v>
      </c>
      <c r="B16" s="2" t="s">
        <v>23</v>
      </c>
      <c r="C16" s="4">
        <v>1000</v>
      </c>
      <c r="D16" s="5">
        <v>1</v>
      </c>
      <c r="E16" s="4">
        <f t="shared" si="2"/>
        <v>1000</v>
      </c>
      <c r="F16" s="2" t="s">
        <v>23</v>
      </c>
      <c r="G16" s="4">
        <v>1000</v>
      </c>
      <c r="H16" s="5">
        <v>1</v>
      </c>
      <c r="I16" s="4">
        <f t="shared" si="0"/>
        <v>1000</v>
      </c>
      <c r="J16" s="2" t="s">
        <v>23</v>
      </c>
      <c r="K16" s="4">
        <v>1000</v>
      </c>
      <c r="L16" s="5">
        <v>1</v>
      </c>
      <c r="M16" s="4">
        <f t="shared" si="1"/>
        <v>1000</v>
      </c>
      <c r="N16" s="2" t="s">
        <v>23</v>
      </c>
      <c r="O16" s="12">
        <v>1500</v>
      </c>
      <c r="P16" s="5">
        <v>1</v>
      </c>
      <c r="Q16" s="4">
        <f t="shared" si="3"/>
        <v>1500</v>
      </c>
      <c r="R16" s="2" t="s">
        <v>23</v>
      </c>
      <c r="S16" s="4">
        <v>1500</v>
      </c>
      <c r="T16" s="5">
        <v>1</v>
      </c>
      <c r="U16" s="20">
        <f t="shared" si="4"/>
        <v>1500</v>
      </c>
    </row>
    <row r="17" spans="1:23" ht="51" x14ac:dyDescent="0.2">
      <c r="A17" s="57" t="s">
        <v>47</v>
      </c>
      <c r="B17" s="2" t="s">
        <v>48</v>
      </c>
      <c r="C17" s="4">
        <v>1500</v>
      </c>
      <c r="D17" s="5">
        <v>1</v>
      </c>
      <c r="E17" s="4">
        <f t="shared" ref="E17" si="6">C17*D17</f>
        <v>1500</v>
      </c>
      <c r="F17" s="2" t="s">
        <v>48</v>
      </c>
      <c r="G17" s="4">
        <v>1500</v>
      </c>
      <c r="H17" s="5">
        <v>1</v>
      </c>
      <c r="I17" s="4">
        <f t="shared" ref="I17" si="7">G17*H17</f>
        <v>1500</v>
      </c>
      <c r="J17" s="2" t="s">
        <v>48</v>
      </c>
      <c r="K17" s="4">
        <v>1500</v>
      </c>
      <c r="L17" s="5">
        <v>1</v>
      </c>
      <c r="M17" s="4">
        <f t="shared" ref="M17" si="8">K17*L17</f>
        <v>1500</v>
      </c>
      <c r="N17" s="2" t="s">
        <v>48</v>
      </c>
      <c r="O17" s="12">
        <v>2500</v>
      </c>
      <c r="P17" s="5">
        <v>1</v>
      </c>
      <c r="Q17" s="4">
        <f t="shared" ref="Q17" si="9">P17*O17</f>
        <v>2500</v>
      </c>
      <c r="R17" s="2" t="s">
        <v>48</v>
      </c>
      <c r="S17" s="4">
        <v>2500</v>
      </c>
      <c r="T17" s="5">
        <v>1</v>
      </c>
      <c r="U17" s="20">
        <f t="shared" ref="U17" si="10">T17*S17</f>
        <v>2500</v>
      </c>
    </row>
    <row r="18" spans="1:23" ht="38.25" x14ac:dyDescent="0.25">
      <c r="A18" s="57" t="s">
        <v>49</v>
      </c>
      <c r="B18" s="2" t="s">
        <v>23</v>
      </c>
      <c r="C18" s="4"/>
      <c r="D18" s="5"/>
      <c r="E18" s="4">
        <f t="shared" si="2"/>
        <v>0</v>
      </c>
      <c r="F18" s="2" t="s">
        <v>23</v>
      </c>
      <c r="G18" s="4"/>
      <c r="H18" s="5"/>
      <c r="I18" s="4">
        <f t="shared" si="0"/>
        <v>0</v>
      </c>
      <c r="J18" s="2" t="s">
        <v>23</v>
      </c>
      <c r="K18" s="4"/>
      <c r="L18" s="5"/>
      <c r="M18" s="4">
        <f t="shared" si="1"/>
        <v>0</v>
      </c>
      <c r="N18" s="2" t="s">
        <v>50</v>
      </c>
      <c r="O18" s="12">
        <v>10000</v>
      </c>
      <c r="P18" s="5">
        <v>1</v>
      </c>
      <c r="Q18" s="4">
        <f t="shared" si="3"/>
        <v>10000</v>
      </c>
      <c r="R18" s="2" t="s">
        <v>50</v>
      </c>
      <c r="S18" s="4">
        <v>10000</v>
      </c>
      <c r="T18" s="5">
        <v>1</v>
      </c>
      <c r="U18" s="20">
        <f t="shared" si="4"/>
        <v>10000</v>
      </c>
      <c r="W18" s="1"/>
    </row>
    <row r="19" spans="1:23" ht="15" x14ac:dyDescent="0.25">
      <c r="A19" s="21" t="s">
        <v>51</v>
      </c>
      <c r="B19" s="6"/>
      <c r="C19" s="7">
        <f>SUM(C4:C18)</f>
        <v>41900</v>
      </c>
      <c r="D19" s="8"/>
      <c r="E19" s="7">
        <f>SUM(E4:E18)</f>
        <v>41900</v>
      </c>
      <c r="F19" s="6"/>
      <c r="G19" s="7">
        <f>SUM(G4:G18)</f>
        <v>43900</v>
      </c>
      <c r="H19" s="8"/>
      <c r="I19" s="7">
        <f>SUM(I4:I18)</f>
        <v>43900</v>
      </c>
      <c r="J19" s="6"/>
      <c r="K19" s="7">
        <f>SUM(K4:K18)</f>
        <v>48400</v>
      </c>
      <c r="L19" s="8"/>
      <c r="M19" s="7">
        <f>SUM(M4:M18)</f>
        <v>48600</v>
      </c>
      <c r="N19" s="6"/>
      <c r="O19" s="7">
        <f>SUM(O4:O18)</f>
        <v>89400</v>
      </c>
      <c r="P19" s="8"/>
      <c r="Q19" s="7">
        <f>SUM(Q4:Q18)</f>
        <v>103000</v>
      </c>
      <c r="R19" s="6"/>
      <c r="S19" s="7">
        <f>SUM(S4:S18)</f>
        <v>93400</v>
      </c>
      <c r="T19" s="8"/>
      <c r="U19" s="7">
        <f>SUM(U4:U18)</f>
        <v>117200</v>
      </c>
      <c r="W19" s="1"/>
    </row>
    <row r="20" spans="1:23" ht="15" x14ac:dyDescent="0.25">
      <c r="A20" s="31"/>
      <c r="B20" s="9"/>
      <c r="C20" s="9"/>
      <c r="D20" s="10"/>
      <c r="E20" s="9"/>
      <c r="F20" s="9"/>
      <c r="G20" s="9"/>
      <c r="H20" s="10"/>
      <c r="I20" s="9"/>
      <c r="J20" s="9"/>
      <c r="K20" s="9"/>
      <c r="L20" s="10"/>
      <c r="M20" s="9"/>
      <c r="N20" s="9"/>
      <c r="O20" s="9"/>
      <c r="P20" s="10"/>
      <c r="Q20" s="9"/>
      <c r="R20" s="9"/>
      <c r="S20" s="9"/>
      <c r="T20" s="10"/>
      <c r="U20" s="22"/>
      <c r="W20" s="1"/>
    </row>
    <row r="21" spans="1:23" ht="38.25" x14ac:dyDescent="0.25">
      <c r="A21" s="57" t="s">
        <v>52</v>
      </c>
      <c r="B21" s="11" t="s">
        <v>53</v>
      </c>
      <c r="C21" s="12">
        <v>1500</v>
      </c>
      <c r="D21" s="13">
        <v>1</v>
      </c>
      <c r="E21" s="4">
        <f t="shared" ref="E21:E35" si="11">C21*D21</f>
        <v>1500</v>
      </c>
      <c r="F21" s="11" t="s">
        <v>53</v>
      </c>
      <c r="G21" s="12">
        <v>1500</v>
      </c>
      <c r="H21" s="13">
        <v>1</v>
      </c>
      <c r="I21" s="4">
        <f t="shared" ref="I21:I35" si="12">G21*H21</f>
        <v>1500</v>
      </c>
      <c r="J21" s="11" t="s">
        <v>53</v>
      </c>
      <c r="K21" s="12">
        <v>1500</v>
      </c>
      <c r="L21" s="13">
        <v>1</v>
      </c>
      <c r="M21" s="4">
        <f t="shared" ref="M21:M35" si="13">K21*L21</f>
        <v>1500</v>
      </c>
      <c r="N21" s="11" t="s">
        <v>54</v>
      </c>
      <c r="O21" s="12">
        <v>3000</v>
      </c>
      <c r="P21" s="13">
        <v>1</v>
      </c>
      <c r="Q21" s="4">
        <f t="shared" ref="Q21:Q35" si="14">P21*O21</f>
        <v>3000</v>
      </c>
      <c r="R21" s="11" t="s">
        <v>54</v>
      </c>
      <c r="S21" s="12">
        <v>3000</v>
      </c>
      <c r="T21" s="13">
        <v>1</v>
      </c>
      <c r="U21" s="20">
        <f t="shared" ref="U21:U35" si="15">T21*S21</f>
        <v>3000</v>
      </c>
      <c r="W21" s="1"/>
    </row>
    <row r="22" spans="1:23" ht="25.5" x14ac:dyDescent="0.25">
      <c r="A22" s="57" t="s">
        <v>55</v>
      </c>
      <c r="B22" s="2" t="s">
        <v>56</v>
      </c>
      <c r="C22" s="12">
        <v>4500</v>
      </c>
      <c r="D22" s="5">
        <v>1</v>
      </c>
      <c r="E22" s="4">
        <f t="shared" si="11"/>
        <v>4500</v>
      </c>
      <c r="F22" s="2" t="s">
        <v>56</v>
      </c>
      <c r="G22" s="4">
        <v>4500</v>
      </c>
      <c r="H22" s="5">
        <v>1</v>
      </c>
      <c r="I22" s="4">
        <f t="shared" si="12"/>
        <v>4500</v>
      </c>
      <c r="J22" s="2" t="s">
        <v>56</v>
      </c>
      <c r="K22" s="4">
        <v>4500</v>
      </c>
      <c r="L22" s="5">
        <v>1</v>
      </c>
      <c r="M22" s="4">
        <f t="shared" si="13"/>
        <v>4500</v>
      </c>
      <c r="N22" s="2" t="s">
        <v>56</v>
      </c>
      <c r="O22" s="4">
        <v>9000</v>
      </c>
      <c r="P22" s="5">
        <v>1</v>
      </c>
      <c r="Q22" s="4">
        <f t="shared" si="14"/>
        <v>9000</v>
      </c>
      <c r="R22" s="2" t="s">
        <v>56</v>
      </c>
      <c r="S22" s="4">
        <v>9000</v>
      </c>
      <c r="T22" s="5">
        <v>1</v>
      </c>
      <c r="U22" s="20">
        <f t="shared" si="15"/>
        <v>9000</v>
      </c>
      <c r="W22" s="1"/>
    </row>
    <row r="23" spans="1:23" ht="15" x14ac:dyDescent="0.25">
      <c r="A23" s="57" t="s">
        <v>57</v>
      </c>
      <c r="B23" s="2" t="s">
        <v>23</v>
      </c>
      <c r="C23" s="12">
        <v>1200</v>
      </c>
      <c r="D23" s="5">
        <v>1</v>
      </c>
      <c r="E23" s="4">
        <f t="shared" si="11"/>
        <v>1200</v>
      </c>
      <c r="F23" s="2" t="s">
        <v>23</v>
      </c>
      <c r="G23" s="4">
        <v>1200</v>
      </c>
      <c r="H23" s="5">
        <v>1</v>
      </c>
      <c r="I23" s="4">
        <f t="shared" si="12"/>
        <v>1200</v>
      </c>
      <c r="J23" s="2" t="s">
        <v>23</v>
      </c>
      <c r="K23" s="4">
        <v>1200</v>
      </c>
      <c r="L23" s="5">
        <v>1</v>
      </c>
      <c r="M23" s="4">
        <f>K23*L23</f>
        <v>1200</v>
      </c>
      <c r="N23" s="2" t="s">
        <v>23</v>
      </c>
      <c r="O23" s="4">
        <v>1500</v>
      </c>
      <c r="P23" s="5">
        <v>1</v>
      </c>
      <c r="Q23" s="4">
        <f t="shared" si="14"/>
        <v>1500</v>
      </c>
      <c r="R23" s="2" t="s">
        <v>23</v>
      </c>
      <c r="S23" s="4">
        <v>1500</v>
      </c>
      <c r="T23" s="5">
        <v>1</v>
      </c>
      <c r="U23" s="20">
        <f t="shared" si="15"/>
        <v>1500</v>
      </c>
      <c r="W23" s="1"/>
    </row>
    <row r="24" spans="1:23" ht="35.25" customHeight="1" x14ac:dyDescent="0.25">
      <c r="A24" s="57" t="s">
        <v>58</v>
      </c>
      <c r="B24" s="2" t="s">
        <v>59</v>
      </c>
      <c r="C24" s="12">
        <v>1500</v>
      </c>
      <c r="D24" s="5">
        <v>3</v>
      </c>
      <c r="E24" s="4">
        <f t="shared" si="11"/>
        <v>4500</v>
      </c>
      <c r="F24" s="2" t="s">
        <v>59</v>
      </c>
      <c r="G24" s="4">
        <v>1500</v>
      </c>
      <c r="H24" s="5">
        <v>3</v>
      </c>
      <c r="I24" s="4">
        <f t="shared" si="12"/>
        <v>4500</v>
      </c>
      <c r="J24" s="2" t="s">
        <v>59</v>
      </c>
      <c r="K24" s="4">
        <v>1500</v>
      </c>
      <c r="L24" s="5">
        <v>4</v>
      </c>
      <c r="M24" s="4">
        <f t="shared" si="13"/>
        <v>6000</v>
      </c>
      <c r="N24" s="2" t="s">
        <v>59</v>
      </c>
      <c r="O24" s="4">
        <v>1500</v>
      </c>
      <c r="P24" s="5">
        <v>6</v>
      </c>
      <c r="Q24" s="4">
        <f t="shared" ref="Q24:Q27" si="16">O24*P24</f>
        <v>9000</v>
      </c>
      <c r="R24" s="2" t="s">
        <v>59</v>
      </c>
      <c r="S24" s="4">
        <v>1500</v>
      </c>
      <c r="T24" s="5">
        <v>6</v>
      </c>
      <c r="U24" s="4">
        <f t="shared" ref="U24:U27" si="17">S24*T24</f>
        <v>9000</v>
      </c>
      <c r="W24" s="1"/>
    </row>
    <row r="25" spans="1:23" ht="25.5" x14ac:dyDescent="0.25">
      <c r="A25" s="57" t="s">
        <v>60</v>
      </c>
      <c r="B25" s="2" t="s">
        <v>61</v>
      </c>
      <c r="C25" s="12">
        <v>2500</v>
      </c>
      <c r="D25" s="5">
        <v>1</v>
      </c>
      <c r="E25" s="4">
        <f t="shared" si="11"/>
        <v>2500</v>
      </c>
      <c r="F25" s="2" t="s">
        <v>61</v>
      </c>
      <c r="G25" s="4">
        <v>2500</v>
      </c>
      <c r="H25" s="5">
        <v>1</v>
      </c>
      <c r="I25" s="4">
        <f t="shared" si="12"/>
        <v>2500</v>
      </c>
      <c r="J25" s="2" t="s">
        <v>61</v>
      </c>
      <c r="K25" s="4">
        <v>2500</v>
      </c>
      <c r="L25" s="5">
        <v>1</v>
      </c>
      <c r="M25" s="4">
        <f t="shared" si="13"/>
        <v>2500</v>
      </c>
      <c r="N25" s="2" t="s">
        <v>61</v>
      </c>
      <c r="O25" s="4">
        <v>2500</v>
      </c>
      <c r="P25" s="5">
        <v>1</v>
      </c>
      <c r="Q25" s="4">
        <f t="shared" si="16"/>
        <v>2500</v>
      </c>
      <c r="R25" s="2" t="s">
        <v>61</v>
      </c>
      <c r="S25" s="4">
        <v>2500</v>
      </c>
      <c r="T25" s="5">
        <v>1</v>
      </c>
      <c r="U25" s="4">
        <f t="shared" si="17"/>
        <v>2500</v>
      </c>
      <c r="W25" s="1"/>
    </row>
    <row r="26" spans="1:23" ht="15" x14ac:dyDescent="0.25">
      <c r="A26" s="57" t="s">
        <v>62</v>
      </c>
      <c r="B26" s="2" t="s">
        <v>23</v>
      </c>
      <c r="C26" s="12">
        <v>500</v>
      </c>
      <c r="D26" s="5">
        <v>1</v>
      </c>
      <c r="E26" s="4">
        <f t="shared" si="11"/>
        <v>500</v>
      </c>
      <c r="F26" s="2" t="s">
        <v>23</v>
      </c>
      <c r="G26" s="4">
        <v>500</v>
      </c>
      <c r="H26" s="5">
        <v>1</v>
      </c>
      <c r="I26" s="4">
        <f t="shared" si="12"/>
        <v>500</v>
      </c>
      <c r="J26" s="2" t="s">
        <v>23</v>
      </c>
      <c r="K26" s="4">
        <v>500</v>
      </c>
      <c r="L26" s="5">
        <v>1</v>
      </c>
      <c r="M26" s="4">
        <f t="shared" si="13"/>
        <v>500</v>
      </c>
      <c r="N26" s="2" t="s">
        <v>23</v>
      </c>
      <c r="O26" s="4">
        <v>500</v>
      </c>
      <c r="P26" s="5">
        <v>1</v>
      </c>
      <c r="Q26" s="4">
        <f t="shared" si="16"/>
        <v>500</v>
      </c>
      <c r="R26" s="2" t="s">
        <v>23</v>
      </c>
      <c r="S26" s="4">
        <v>500</v>
      </c>
      <c r="T26" s="5">
        <v>1</v>
      </c>
      <c r="U26" s="4">
        <f t="shared" si="17"/>
        <v>500</v>
      </c>
      <c r="W26" s="1"/>
    </row>
    <row r="27" spans="1:23" ht="25.5" x14ac:dyDescent="0.25">
      <c r="A27" s="57" t="s">
        <v>63</v>
      </c>
      <c r="B27" s="2" t="s">
        <v>64</v>
      </c>
      <c r="C27" s="12">
        <v>200</v>
      </c>
      <c r="D27" s="5">
        <v>3</v>
      </c>
      <c r="E27" s="4">
        <f t="shared" si="11"/>
        <v>600</v>
      </c>
      <c r="F27" s="2" t="s">
        <v>64</v>
      </c>
      <c r="G27" s="4">
        <v>200</v>
      </c>
      <c r="H27" s="5">
        <v>3</v>
      </c>
      <c r="I27" s="4">
        <f t="shared" si="12"/>
        <v>600</v>
      </c>
      <c r="J27" s="2" t="s">
        <v>64</v>
      </c>
      <c r="K27" s="4">
        <v>200</v>
      </c>
      <c r="L27" s="5">
        <v>4</v>
      </c>
      <c r="M27" s="4">
        <f t="shared" si="13"/>
        <v>800</v>
      </c>
      <c r="N27" s="2" t="s">
        <v>64</v>
      </c>
      <c r="O27" s="4">
        <v>200</v>
      </c>
      <c r="P27" s="5">
        <v>6</v>
      </c>
      <c r="Q27" s="4">
        <f t="shared" si="16"/>
        <v>1200</v>
      </c>
      <c r="R27" s="2" t="s">
        <v>64</v>
      </c>
      <c r="S27" s="4">
        <v>200</v>
      </c>
      <c r="T27" s="5">
        <v>6</v>
      </c>
      <c r="U27" s="4">
        <f t="shared" si="17"/>
        <v>1200</v>
      </c>
      <c r="W27" s="1"/>
    </row>
    <row r="28" spans="1:23" ht="15" x14ac:dyDescent="0.25">
      <c r="A28" s="57" t="s">
        <v>65</v>
      </c>
      <c r="B28" s="2" t="s">
        <v>66</v>
      </c>
      <c r="C28" s="12">
        <v>7000</v>
      </c>
      <c r="D28" s="5">
        <v>1</v>
      </c>
      <c r="E28" s="4">
        <f t="shared" si="11"/>
        <v>7000</v>
      </c>
      <c r="F28" s="2" t="s">
        <v>66</v>
      </c>
      <c r="G28" s="4">
        <v>7000</v>
      </c>
      <c r="H28" s="5">
        <v>1</v>
      </c>
      <c r="I28" s="4">
        <f t="shared" si="12"/>
        <v>7000</v>
      </c>
      <c r="J28" s="2" t="s">
        <v>66</v>
      </c>
      <c r="K28" s="4">
        <v>7000</v>
      </c>
      <c r="L28" s="5">
        <v>1</v>
      </c>
      <c r="M28" s="4">
        <f t="shared" si="13"/>
        <v>7000</v>
      </c>
      <c r="N28" s="2" t="s">
        <v>67</v>
      </c>
      <c r="O28" s="4">
        <v>9000</v>
      </c>
      <c r="P28" s="5">
        <v>1</v>
      </c>
      <c r="Q28" s="4">
        <f t="shared" si="14"/>
        <v>9000</v>
      </c>
      <c r="R28" s="2" t="s">
        <v>67</v>
      </c>
      <c r="S28" s="4">
        <v>9000</v>
      </c>
      <c r="T28" s="5">
        <v>1</v>
      </c>
      <c r="U28" s="20">
        <f t="shared" si="15"/>
        <v>9000</v>
      </c>
      <c r="W28" s="1"/>
    </row>
    <row r="29" spans="1:23" ht="25.5" x14ac:dyDescent="0.25">
      <c r="A29" s="57" t="s">
        <v>68</v>
      </c>
      <c r="B29" s="11" t="s">
        <v>69</v>
      </c>
      <c r="C29" s="12">
        <v>5000</v>
      </c>
      <c r="D29" s="13">
        <v>1</v>
      </c>
      <c r="E29" s="4">
        <f t="shared" si="11"/>
        <v>5000</v>
      </c>
      <c r="F29" s="11" t="s">
        <v>69</v>
      </c>
      <c r="G29" s="12">
        <v>5000</v>
      </c>
      <c r="H29" s="13">
        <v>1</v>
      </c>
      <c r="I29" s="4">
        <f t="shared" si="12"/>
        <v>5000</v>
      </c>
      <c r="J29" s="11" t="s">
        <v>69</v>
      </c>
      <c r="K29" s="12">
        <v>5000</v>
      </c>
      <c r="L29" s="13">
        <v>1</v>
      </c>
      <c r="M29" s="4">
        <f t="shared" si="13"/>
        <v>5000</v>
      </c>
      <c r="N29" s="11" t="s">
        <v>69</v>
      </c>
      <c r="O29" s="12">
        <v>5000</v>
      </c>
      <c r="P29" s="13">
        <v>1</v>
      </c>
      <c r="Q29" s="4">
        <f t="shared" si="14"/>
        <v>5000</v>
      </c>
      <c r="R29" s="11" t="s">
        <v>69</v>
      </c>
      <c r="S29" s="12">
        <v>5000</v>
      </c>
      <c r="T29" s="13">
        <v>1</v>
      </c>
      <c r="U29" s="20">
        <f t="shared" si="15"/>
        <v>5000</v>
      </c>
      <c r="W29" s="1"/>
    </row>
    <row r="30" spans="1:23" ht="15" x14ac:dyDescent="0.25">
      <c r="A30" s="57" t="s">
        <v>70</v>
      </c>
      <c r="B30" s="2" t="s">
        <v>23</v>
      </c>
      <c r="C30" s="12">
        <v>1000</v>
      </c>
      <c r="D30" s="5">
        <v>1</v>
      </c>
      <c r="E30" s="4">
        <f t="shared" si="11"/>
        <v>1000</v>
      </c>
      <c r="F30" s="2" t="s">
        <v>23</v>
      </c>
      <c r="G30" s="4">
        <v>1000</v>
      </c>
      <c r="H30" s="5">
        <v>1</v>
      </c>
      <c r="I30" s="4">
        <f t="shared" si="12"/>
        <v>1000</v>
      </c>
      <c r="J30" s="2" t="s">
        <v>23</v>
      </c>
      <c r="K30" s="4">
        <v>1000</v>
      </c>
      <c r="L30" s="5">
        <v>1</v>
      </c>
      <c r="M30" s="4">
        <f t="shared" si="13"/>
        <v>1000</v>
      </c>
      <c r="N30" s="2" t="s">
        <v>23</v>
      </c>
      <c r="O30" s="4">
        <v>1500</v>
      </c>
      <c r="P30" s="5">
        <v>1</v>
      </c>
      <c r="Q30" s="4">
        <f t="shared" si="14"/>
        <v>1500</v>
      </c>
      <c r="R30" s="2" t="s">
        <v>23</v>
      </c>
      <c r="S30" s="4">
        <v>1500</v>
      </c>
      <c r="T30" s="5">
        <v>1</v>
      </c>
      <c r="U30" s="20">
        <f t="shared" si="15"/>
        <v>1500</v>
      </c>
      <c r="W30" s="1"/>
    </row>
    <row r="31" spans="1:23" ht="15" x14ac:dyDescent="0.25">
      <c r="A31" s="57" t="s">
        <v>71</v>
      </c>
      <c r="B31" s="11" t="s">
        <v>72</v>
      </c>
      <c r="C31" s="12">
        <v>8000</v>
      </c>
      <c r="D31" s="13">
        <v>1</v>
      </c>
      <c r="E31" s="4">
        <f t="shared" si="11"/>
        <v>8000</v>
      </c>
      <c r="F31" s="11" t="s">
        <v>72</v>
      </c>
      <c r="G31" s="12">
        <v>10000</v>
      </c>
      <c r="H31" s="13">
        <v>1</v>
      </c>
      <c r="I31" s="4">
        <f t="shared" si="12"/>
        <v>10000</v>
      </c>
      <c r="J31" s="14" t="s">
        <v>73</v>
      </c>
      <c r="K31" s="12">
        <v>12000</v>
      </c>
      <c r="L31" s="13">
        <v>1</v>
      </c>
      <c r="M31" s="4">
        <f t="shared" si="13"/>
        <v>12000</v>
      </c>
      <c r="N31" s="11" t="s">
        <v>74</v>
      </c>
      <c r="O31" s="12">
        <v>12000</v>
      </c>
      <c r="P31" s="13">
        <v>2</v>
      </c>
      <c r="Q31" s="4">
        <f t="shared" si="14"/>
        <v>24000</v>
      </c>
      <c r="R31" s="11" t="s">
        <v>74</v>
      </c>
      <c r="S31" s="12">
        <v>12000</v>
      </c>
      <c r="T31" s="13">
        <v>3</v>
      </c>
      <c r="U31" s="20">
        <f t="shared" si="15"/>
        <v>36000</v>
      </c>
      <c r="W31" s="1"/>
    </row>
    <row r="32" spans="1:23" ht="15" x14ac:dyDescent="0.25">
      <c r="A32" s="57" t="s">
        <v>75</v>
      </c>
      <c r="B32" s="11" t="s">
        <v>23</v>
      </c>
      <c r="C32" s="12">
        <v>1200</v>
      </c>
      <c r="D32" s="13">
        <v>1</v>
      </c>
      <c r="E32" s="4">
        <f t="shared" si="11"/>
        <v>1200</v>
      </c>
      <c r="F32" s="11" t="s">
        <v>23</v>
      </c>
      <c r="G32" s="12">
        <v>1200</v>
      </c>
      <c r="H32" s="13">
        <v>1</v>
      </c>
      <c r="I32" s="4">
        <f t="shared" si="12"/>
        <v>1200</v>
      </c>
      <c r="J32" s="11" t="s">
        <v>23</v>
      </c>
      <c r="K32" s="12">
        <v>1200</v>
      </c>
      <c r="L32" s="13">
        <v>1</v>
      </c>
      <c r="M32" s="4">
        <f t="shared" si="13"/>
        <v>1200</v>
      </c>
      <c r="N32" s="11" t="s">
        <v>23</v>
      </c>
      <c r="O32" s="12">
        <v>1200</v>
      </c>
      <c r="P32" s="13">
        <v>2</v>
      </c>
      <c r="Q32" s="4">
        <f t="shared" si="14"/>
        <v>2400</v>
      </c>
      <c r="R32" s="11" t="s">
        <v>23</v>
      </c>
      <c r="S32" s="12">
        <v>1200</v>
      </c>
      <c r="T32" s="13">
        <v>2</v>
      </c>
      <c r="U32" s="20">
        <f t="shared" si="15"/>
        <v>2400</v>
      </c>
      <c r="W32" s="1"/>
    </row>
    <row r="33" spans="1:23" ht="15" x14ac:dyDescent="0.25">
      <c r="A33" s="57" t="s">
        <v>76</v>
      </c>
      <c r="B33" s="11" t="s">
        <v>23</v>
      </c>
      <c r="C33" s="12">
        <v>2000</v>
      </c>
      <c r="D33" s="13">
        <v>1</v>
      </c>
      <c r="E33" s="4">
        <f t="shared" si="11"/>
        <v>2000</v>
      </c>
      <c r="F33" s="11" t="s">
        <v>23</v>
      </c>
      <c r="G33" s="12">
        <v>2000</v>
      </c>
      <c r="H33" s="13">
        <v>1</v>
      </c>
      <c r="I33" s="4">
        <f t="shared" si="12"/>
        <v>2000</v>
      </c>
      <c r="J33" s="11" t="s">
        <v>23</v>
      </c>
      <c r="K33" s="12">
        <v>2000</v>
      </c>
      <c r="L33" s="13">
        <v>1</v>
      </c>
      <c r="M33" s="4">
        <f t="shared" si="13"/>
        <v>2000</v>
      </c>
      <c r="N33" s="11" t="s">
        <v>23</v>
      </c>
      <c r="O33" s="12">
        <v>3000</v>
      </c>
      <c r="P33" s="13">
        <v>1</v>
      </c>
      <c r="Q33" s="4">
        <f t="shared" si="14"/>
        <v>3000</v>
      </c>
      <c r="R33" s="11" t="s">
        <v>23</v>
      </c>
      <c r="S33" s="12">
        <v>3000</v>
      </c>
      <c r="T33" s="13">
        <v>1</v>
      </c>
      <c r="U33" s="20">
        <f t="shared" si="15"/>
        <v>3000</v>
      </c>
      <c r="W33" s="1"/>
    </row>
    <row r="34" spans="1:23" ht="15" x14ac:dyDescent="0.25">
      <c r="A34" s="57" t="s">
        <v>77</v>
      </c>
      <c r="B34" s="11" t="s">
        <v>23</v>
      </c>
      <c r="C34" s="12">
        <v>3000</v>
      </c>
      <c r="D34" s="13">
        <v>1</v>
      </c>
      <c r="E34" s="4">
        <f t="shared" si="11"/>
        <v>3000</v>
      </c>
      <c r="F34" s="11" t="s">
        <v>23</v>
      </c>
      <c r="G34" s="12">
        <v>3000</v>
      </c>
      <c r="H34" s="13">
        <v>1</v>
      </c>
      <c r="I34" s="4">
        <f t="shared" si="12"/>
        <v>3000</v>
      </c>
      <c r="J34" s="11" t="s">
        <v>23</v>
      </c>
      <c r="K34" s="12">
        <v>3000</v>
      </c>
      <c r="L34" s="13">
        <v>1</v>
      </c>
      <c r="M34" s="4">
        <f t="shared" si="13"/>
        <v>3000</v>
      </c>
      <c r="N34" s="11" t="s">
        <v>23</v>
      </c>
      <c r="O34" s="12">
        <v>6000</v>
      </c>
      <c r="P34" s="13">
        <v>1</v>
      </c>
      <c r="Q34" s="4">
        <f t="shared" ref="Q34" si="18">P34*O34</f>
        <v>6000</v>
      </c>
      <c r="R34" s="11" t="s">
        <v>23</v>
      </c>
      <c r="S34" s="12">
        <v>8000</v>
      </c>
      <c r="T34" s="13">
        <v>1</v>
      </c>
      <c r="U34" s="20">
        <f t="shared" ref="U34" si="19">T34*S34</f>
        <v>8000</v>
      </c>
      <c r="W34" s="1"/>
    </row>
    <row r="35" spans="1:23" ht="15" x14ac:dyDescent="0.25">
      <c r="A35" s="57" t="s">
        <v>78</v>
      </c>
      <c r="B35" s="2" t="s">
        <v>23</v>
      </c>
      <c r="C35" s="4"/>
      <c r="D35" s="5"/>
      <c r="E35" s="4">
        <f t="shared" si="11"/>
        <v>0</v>
      </c>
      <c r="F35" s="2" t="s">
        <v>23</v>
      </c>
      <c r="G35" s="4"/>
      <c r="H35" s="5"/>
      <c r="I35" s="4">
        <f t="shared" si="12"/>
        <v>0</v>
      </c>
      <c r="J35" s="2" t="s">
        <v>23</v>
      </c>
      <c r="K35" s="4"/>
      <c r="L35" s="5"/>
      <c r="M35" s="4">
        <f t="shared" si="13"/>
        <v>0</v>
      </c>
      <c r="N35" s="2" t="s">
        <v>79</v>
      </c>
      <c r="O35" s="4">
        <v>1000</v>
      </c>
      <c r="P35" s="5">
        <v>6</v>
      </c>
      <c r="Q35" s="4">
        <f t="shared" si="14"/>
        <v>6000</v>
      </c>
      <c r="R35" s="2" t="s">
        <v>80</v>
      </c>
      <c r="S35" s="4">
        <v>1000</v>
      </c>
      <c r="T35" s="5">
        <v>9</v>
      </c>
      <c r="U35" s="20">
        <f t="shared" si="15"/>
        <v>9000</v>
      </c>
      <c r="W35" s="1"/>
    </row>
    <row r="36" spans="1:23" ht="15" x14ac:dyDescent="0.25">
      <c r="A36" s="21" t="s">
        <v>81</v>
      </c>
      <c r="B36" s="6"/>
      <c r="C36" s="7">
        <f>SUM(C21:C35)</f>
        <v>39100</v>
      </c>
      <c r="D36" s="8"/>
      <c r="E36" s="7">
        <f>SUM(E21:E35)</f>
        <v>42500</v>
      </c>
      <c r="F36" s="6"/>
      <c r="G36" s="7">
        <f>SUM(G21:G35)</f>
        <v>41100</v>
      </c>
      <c r="H36" s="8"/>
      <c r="I36" s="7">
        <f>SUM(I21:I35)</f>
        <v>44500</v>
      </c>
      <c r="J36" s="6"/>
      <c r="K36" s="7">
        <f>SUM(K21:K35)</f>
        <v>43100</v>
      </c>
      <c r="L36" s="8"/>
      <c r="M36" s="7">
        <f>SUM(M21:M35)</f>
        <v>48200</v>
      </c>
      <c r="N36" s="6"/>
      <c r="O36" s="7">
        <f>SUM(O21:O35)</f>
        <v>56900</v>
      </c>
      <c r="P36" s="8"/>
      <c r="Q36" s="7">
        <f>SUM(Q21:Q35)</f>
        <v>83600</v>
      </c>
      <c r="R36" s="6"/>
      <c r="S36" s="7">
        <f>SUM(S21:S35)</f>
        <v>58900</v>
      </c>
      <c r="T36" s="8"/>
      <c r="U36" s="7">
        <f>SUM(U21:U35)</f>
        <v>100600</v>
      </c>
      <c r="W36" s="1"/>
    </row>
    <row r="37" spans="1:23" ht="15" x14ac:dyDescent="0.25">
      <c r="A37" s="31"/>
      <c r="B37" s="9"/>
      <c r="C37" s="9"/>
      <c r="D37" s="10"/>
      <c r="E37" s="9"/>
      <c r="F37" s="9"/>
      <c r="G37" s="9"/>
      <c r="H37" s="10"/>
      <c r="I37" s="9"/>
      <c r="J37" s="9"/>
      <c r="K37" s="9"/>
      <c r="L37" s="10"/>
      <c r="M37" s="9"/>
      <c r="N37" s="9"/>
      <c r="O37" s="9"/>
      <c r="P37" s="10"/>
      <c r="Q37" s="9"/>
      <c r="R37" s="9"/>
      <c r="S37" s="9"/>
      <c r="T37" s="10"/>
      <c r="U37" s="22"/>
      <c r="W37" s="1"/>
    </row>
    <row r="38" spans="1:23" ht="15" x14ac:dyDescent="0.25">
      <c r="A38" s="57" t="s">
        <v>82</v>
      </c>
      <c r="B38" s="2" t="s">
        <v>23</v>
      </c>
      <c r="C38" s="4">
        <v>1000</v>
      </c>
      <c r="D38" s="5">
        <v>1</v>
      </c>
      <c r="E38" s="4">
        <f t="shared" ref="E38:E52" si="20">C38*D38</f>
        <v>1000</v>
      </c>
      <c r="F38" s="2" t="s">
        <v>23</v>
      </c>
      <c r="G38" s="4">
        <v>1000</v>
      </c>
      <c r="H38" s="5">
        <v>1</v>
      </c>
      <c r="I38" s="4">
        <f t="shared" ref="I38:I52" si="21">G38*H38</f>
        <v>1000</v>
      </c>
      <c r="J38" s="2" t="s">
        <v>23</v>
      </c>
      <c r="K38" s="4">
        <v>1000</v>
      </c>
      <c r="L38" s="5">
        <v>1</v>
      </c>
      <c r="M38" s="4">
        <f t="shared" ref="M38:M52" si="22">K38*L38</f>
        <v>1000</v>
      </c>
      <c r="N38" s="2" t="s">
        <v>23</v>
      </c>
      <c r="O38" s="4">
        <v>1000</v>
      </c>
      <c r="P38" s="5">
        <v>1</v>
      </c>
      <c r="Q38" s="4">
        <f>P38*O38</f>
        <v>1000</v>
      </c>
      <c r="R38" s="2" t="s">
        <v>23</v>
      </c>
      <c r="S38" s="4">
        <v>1000</v>
      </c>
      <c r="T38" s="5">
        <v>1</v>
      </c>
      <c r="U38" s="20">
        <f>T38*S38</f>
        <v>1000</v>
      </c>
      <c r="W38" s="1"/>
    </row>
    <row r="39" spans="1:23" ht="38.25" x14ac:dyDescent="0.25">
      <c r="A39" s="57" t="s">
        <v>83</v>
      </c>
      <c r="B39" s="11" t="s">
        <v>23</v>
      </c>
      <c r="C39" s="12">
        <v>3000</v>
      </c>
      <c r="D39" s="13">
        <v>1</v>
      </c>
      <c r="E39" s="4">
        <f t="shared" si="20"/>
        <v>3000</v>
      </c>
      <c r="F39" s="11" t="s">
        <v>23</v>
      </c>
      <c r="G39" s="12">
        <v>3000</v>
      </c>
      <c r="H39" s="13">
        <v>1</v>
      </c>
      <c r="I39" s="4">
        <f t="shared" si="21"/>
        <v>3000</v>
      </c>
      <c r="J39" s="11" t="s">
        <v>23</v>
      </c>
      <c r="K39" s="12">
        <v>3000</v>
      </c>
      <c r="L39" s="13">
        <v>1</v>
      </c>
      <c r="M39" s="4">
        <f t="shared" si="22"/>
        <v>3000</v>
      </c>
      <c r="N39" s="11" t="s">
        <v>84</v>
      </c>
      <c r="O39" s="12">
        <v>12000</v>
      </c>
      <c r="P39" s="13">
        <v>1</v>
      </c>
      <c r="Q39" s="4">
        <f t="shared" ref="Q39:Q52" si="23">P39*O39</f>
        <v>12000</v>
      </c>
      <c r="R39" s="11" t="s">
        <v>84</v>
      </c>
      <c r="S39" s="12">
        <v>12000</v>
      </c>
      <c r="T39" s="13">
        <v>1</v>
      </c>
      <c r="U39" s="20">
        <f t="shared" ref="U39:U52" si="24">T39*S39</f>
        <v>12000</v>
      </c>
      <c r="W39" s="1"/>
    </row>
    <row r="40" spans="1:23" ht="15" x14ac:dyDescent="0.25">
      <c r="A40" s="57" t="s">
        <v>85</v>
      </c>
      <c r="B40" s="11" t="s">
        <v>23</v>
      </c>
      <c r="C40" s="12">
        <v>2000</v>
      </c>
      <c r="D40" s="13">
        <v>1</v>
      </c>
      <c r="E40" s="4">
        <f t="shared" si="20"/>
        <v>2000</v>
      </c>
      <c r="F40" s="11" t="s">
        <v>23</v>
      </c>
      <c r="G40" s="12">
        <v>2500</v>
      </c>
      <c r="H40" s="13">
        <v>1</v>
      </c>
      <c r="I40" s="4">
        <f t="shared" si="21"/>
        <v>2500</v>
      </c>
      <c r="J40" s="11" t="s">
        <v>23</v>
      </c>
      <c r="K40" s="12">
        <v>3000</v>
      </c>
      <c r="L40" s="13">
        <v>1</v>
      </c>
      <c r="M40" s="4">
        <f t="shared" si="22"/>
        <v>3000</v>
      </c>
      <c r="N40" s="2" t="s">
        <v>23</v>
      </c>
      <c r="O40" s="12">
        <v>6000</v>
      </c>
      <c r="P40" s="13">
        <v>1</v>
      </c>
      <c r="Q40" s="4">
        <f t="shared" si="23"/>
        <v>6000</v>
      </c>
      <c r="R40" s="12" t="s">
        <v>23</v>
      </c>
      <c r="S40" s="12">
        <v>6000</v>
      </c>
      <c r="T40" s="13">
        <v>1</v>
      </c>
      <c r="U40" s="20">
        <f t="shared" si="24"/>
        <v>6000</v>
      </c>
      <c r="W40" s="1"/>
    </row>
    <row r="41" spans="1:23" ht="38.25" x14ac:dyDescent="0.25">
      <c r="A41" s="57" t="s">
        <v>86</v>
      </c>
      <c r="B41" s="2" t="s">
        <v>23</v>
      </c>
      <c r="C41" s="4">
        <v>800</v>
      </c>
      <c r="D41" s="5">
        <v>1</v>
      </c>
      <c r="E41" s="4">
        <f t="shared" si="20"/>
        <v>800</v>
      </c>
      <c r="F41" s="2" t="s">
        <v>23</v>
      </c>
      <c r="G41" s="4">
        <v>1200</v>
      </c>
      <c r="H41" s="5">
        <v>1</v>
      </c>
      <c r="I41" s="4">
        <f t="shared" si="21"/>
        <v>1200</v>
      </c>
      <c r="J41" s="2" t="s">
        <v>23</v>
      </c>
      <c r="K41" s="4">
        <v>2000</v>
      </c>
      <c r="L41" s="5">
        <v>1</v>
      </c>
      <c r="M41" s="4">
        <f t="shared" si="22"/>
        <v>2000</v>
      </c>
      <c r="N41" s="11" t="s">
        <v>84</v>
      </c>
      <c r="O41" s="4">
        <v>4000</v>
      </c>
      <c r="P41" s="5">
        <v>1</v>
      </c>
      <c r="Q41" s="4">
        <f t="shared" si="23"/>
        <v>4000</v>
      </c>
      <c r="R41" s="11" t="s">
        <v>84</v>
      </c>
      <c r="S41" s="4">
        <v>4000</v>
      </c>
      <c r="T41" s="5">
        <v>1</v>
      </c>
      <c r="U41" s="20">
        <f t="shared" si="24"/>
        <v>4000</v>
      </c>
      <c r="W41" s="1"/>
    </row>
    <row r="42" spans="1:23" ht="21.75" customHeight="1" x14ac:dyDescent="0.25">
      <c r="A42" s="57" t="s">
        <v>87</v>
      </c>
      <c r="B42" s="2" t="s">
        <v>88</v>
      </c>
      <c r="C42" s="4">
        <v>4000</v>
      </c>
      <c r="D42" s="5">
        <v>1</v>
      </c>
      <c r="E42" s="4">
        <f t="shared" si="20"/>
        <v>4000</v>
      </c>
      <c r="F42" s="2" t="s">
        <v>88</v>
      </c>
      <c r="G42" s="4">
        <v>4000</v>
      </c>
      <c r="H42" s="5">
        <v>1</v>
      </c>
      <c r="I42" s="4">
        <f t="shared" si="21"/>
        <v>4000</v>
      </c>
      <c r="J42" s="2" t="s">
        <v>89</v>
      </c>
      <c r="K42" s="4">
        <v>5000</v>
      </c>
      <c r="L42" s="5">
        <v>1</v>
      </c>
      <c r="M42" s="4">
        <f t="shared" si="22"/>
        <v>5000</v>
      </c>
      <c r="N42" s="2" t="s">
        <v>90</v>
      </c>
      <c r="O42" s="4">
        <v>12000</v>
      </c>
      <c r="P42" s="5">
        <v>1</v>
      </c>
      <c r="Q42" s="4">
        <f t="shared" si="23"/>
        <v>12000</v>
      </c>
      <c r="R42" s="2" t="s">
        <v>90</v>
      </c>
      <c r="S42" s="4">
        <v>12000</v>
      </c>
      <c r="T42" s="5">
        <v>1</v>
      </c>
      <c r="U42" s="20">
        <f t="shared" si="24"/>
        <v>12000</v>
      </c>
      <c r="W42" s="1"/>
    </row>
    <row r="43" spans="1:23" ht="18.75" customHeight="1" x14ac:dyDescent="0.25">
      <c r="A43" s="57" t="s">
        <v>91</v>
      </c>
      <c r="B43" s="61" t="s">
        <v>92</v>
      </c>
      <c r="C43" s="12">
        <v>3000</v>
      </c>
      <c r="D43" s="13">
        <v>1</v>
      </c>
      <c r="E43" s="12">
        <f t="shared" si="20"/>
        <v>3000</v>
      </c>
      <c r="F43" s="62" t="s">
        <v>92</v>
      </c>
      <c r="G43" s="12">
        <v>4000</v>
      </c>
      <c r="H43" s="13">
        <v>1</v>
      </c>
      <c r="I43" s="12">
        <f t="shared" si="21"/>
        <v>4000</v>
      </c>
      <c r="J43" s="62" t="s">
        <v>92</v>
      </c>
      <c r="K43" s="12">
        <v>5000</v>
      </c>
      <c r="L43" s="13">
        <v>1</v>
      </c>
      <c r="M43" s="12">
        <f t="shared" si="22"/>
        <v>5000</v>
      </c>
      <c r="N43" s="61" t="s">
        <v>92</v>
      </c>
      <c r="O43" s="12">
        <v>8000</v>
      </c>
      <c r="P43" s="13">
        <v>1</v>
      </c>
      <c r="Q43" s="4">
        <f t="shared" si="23"/>
        <v>8000</v>
      </c>
      <c r="R43" s="61" t="s">
        <v>92</v>
      </c>
      <c r="S43" s="12">
        <v>10000</v>
      </c>
      <c r="T43" s="13">
        <v>1</v>
      </c>
      <c r="U43" s="60">
        <f t="shared" si="24"/>
        <v>10000</v>
      </c>
      <c r="W43" s="1"/>
    </row>
    <row r="44" spans="1:23" ht="15" x14ac:dyDescent="0.25">
      <c r="A44" s="57" t="s">
        <v>93</v>
      </c>
      <c r="B44" s="3" t="s">
        <v>23</v>
      </c>
      <c r="C44" s="4">
        <v>600</v>
      </c>
      <c r="D44" s="5">
        <v>1</v>
      </c>
      <c r="E44" s="4">
        <f t="shared" si="20"/>
        <v>600</v>
      </c>
      <c r="F44" s="3" t="s">
        <v>23</v>
      </c>
      <c r="G44" s="4">
        <v>600</v>
      </c>
      <c r="H44" s="5">
        <v>1</v>
      </c>
      <c r="I44" s="4">
        <f t="shared" si="21"/>
        <v>600</v>
      </c>
      <c r="J44" s="3" t="s">
        <v>23</v>
      </c>
      <c r="K44" s="4">
        <v>600</v>
      </c>
      <c r="L44" s="5">
        <v>1</v>
      </c>
      <c r="M44" s="4">
        <f t="shared" si="22"/>
        <v>600</v>
      </c>
      <c r="N44" s="3" t="s">
        <v>23</v>
      </c>
      <c r="O44" s="4">
        <v>800</v>
      </c>
      <c r="P44" s="5">
        <v>1</v>
      </c>
      <c r="Q44" s="4">
        <f t="shared" si="23"/>
        <v>800</v>
      </c>
      <c r="R44" s="3" t="s">
        <v>23</v>
      </c>
      <c r="S44" s="4">
        <v>800</v>
      </c>
      <c r="T44" s="5">
        <v>1</v>
      </c>
      <c r="U44" s="20">
        <f t="shared" si="24"/>
        <v>800</v>
      </c>
      <c r="W44" s="1"/>
    </row>
    <row r="45" spans="1:23" ht="15" x14ac:dyDescent="0.25">
      <c r="A45" s="57" t="s">
        <v>94</v>
      </c>
      <c r="B45" s="3" t="s">
        <v>23</v>
      </c>
      <c r="C45" s="4">
        <v>400</v>
      </c>
      <c r="D45" s="5">
        <v>1</v>
      </c>
      <c r="E45" s="4">
        <f t="shared" si="20"/>
        <v>400</v>
      </c>
      <c r="F45" s="3" t="s">
        <v>23</v>
      </c>
      <c r="G45" s="4">
        <v>400</v>
      </c>
      <c r="H45" s="5">
        <v>1</v>
      </c>
      <c r="I45" s="4">
        <f t="shared" si="21"/>
        <v>400</v>
      </c>
      <c r="J45" s="3" t="s">
        <v>23</v>
      </c>
      <c r="K45" s="4">
        <v>400</v>
      </c>
      <c r="L45" s="5">
        <v>1</v>
      </c>
      <c r="M45" s="4">
        <f t="shared" si="22"/>
        <v>400</v>
      </c>
      <c r="N45" s="3" t="s">
        <v>23</v>
      </c>
      <c r="O45" s="4">
        <v>1000</v>
      </c>
      <c r="P45" s="5">
        <v>1</v>
      </c>
      <c r="Q45" s="4">
        <f t="shared" si="23"/>
        <v>1000</v>
      </c>
      <c r="R45" s="3" t="s">
        <v>23</v>
      </c>
      <c r="S45" s="4">
        <v>1000</v>
      </c>
      <c r="T45" s="5">
        <v>1</v>
      </c>
      <c r="U45" s="20">
        <f t="shared" si="24"/>
        <v>1000</v>
      </c>
      <c r="W45" s="1"/>
    </row>
    <row r="46" spans="1:23" ht="15" x14ac:dyDescent="0.25">
      <c r="A46" s="57" t="s">
        <v>95</v>
      </c>
      <c r="B46" s="3"/>
      <c r="C46" s="4"/>
      <c r="D46" s="5"/>
      <c r="E46" s="4"/>
      <c r="F46" s="3"/>
      <c r="G46" s="4"/>
      <c r="H46" s="5"/>
      <c r="I46" s="4"/>
      <c r="J46" s="3"/>
      <c r="K46" s="4"/>
      <c r="L46" s="5"/>
      <c r="M46" s="4"/>
      <c r="N46" s="3" t="s">
        <v>23</v>
      </c>
      <c r="O46" s="4">
        <v>7000</v>
      </c>
      <c r="P46" s="5">
        <v>1</v>
      </c>
      <c r="Q46" s="4">
        <f t="shared" si="23"/>
        <v>7000</v>
      </c>
      <c r="R46" s="3" t="s">
        <v>23</v>
      </c>
      <c r="S46" s="4">
        <v>7000</v>
      </c>
      <c r="T46" s="5">
        <v>1</v>
      </c>
      <c r="U46" s="20">
        <f t="shared" si="24"/>
        <v>7000</v>
      </c>
      <c r="W46" s="1"/>
    </row>
    <row r="47" spans="1:23" ht="15" x14ac:dyDescent="0.25">
      <c r="A47" s="57" t="s">
        <v>96</v>
      </c>
      <c r="B47" s="3" t="s">
        <v>97</v>
      </c>
      <c r="C47" s="4">
        <v>500</v>
      </c>
      <c r="D47" s="5">
        <v>1</v>
      </c>
      <c r="E47" s="4">
        <f t="shared" si="20"/>
        <v>500</v>
      </c>
      <c r="F47" s="3" t="s">
        <v>97</v>
      </c>
      <c r="G47" s="4">
        <v>500</v>
      </c>
      <c r="H47" s="5">
        <v>1</v>
      </c>
      <c r="I47" s="4">
        <f t="shared" si="21"/>
        <v>500</v>
      </c>
      <c r="J47" s="3" t="s">
        <v>97</v>
      </c>
      <c r="K47" s="4">
        <v>500</v>
      </c>
      <c r="L47" s="5">
        <v>1</v>
      </c>
      <c r="M47" s="4">
        <f t="shared" si="22"/>
        <v>500</v>
      </c>
      <c r="N47" s="3" t="s">
        <v>97</v>
      </c>
      <c r="O47" s="4">
        <v>500</v>
      </c>
      <c r="P47" s="5">
        <v>4</v>
      </c>
      <c r="Q47" s="4">
        <f t="shared" si="23"/>
        <v>2000</v>
      </c>
      <c r="R47" s="3" t="s">
        <v>97</v>
      </c>
      <c r="S47" s="4">
        <v>500</v>
      </c>
      <c r="T47" s="5">
        <v>6</v>
      </c>
      <c r="U47" s="20">
        <f t="shared" si="24"/>
        <v>3000</v>
      </c>
      <c r="W47" s="1"/>
    </row>
    <row r="48" spans="1:23" ht="15" x14ac:dyDescent="0.25">
      <c r="A48" s="57" t="s">
        <v>98</v>
      </c>
      <c r="B48" s="2" t="s">
        <v>23</v>
      </c>
      <c r="C48" s="4">
        <v>200</v>
      </c>
      <c r="D48" s="5">
        <v>1</v>
      </c>
      <c r="E48" s="4">
        <f t="shared" si="20"/>
        <v>200</v>
      </c>
      <c r="F48" s="2" t="s">
        <v>23</v>
      </c>
      <c r="G48" s="4">
        <v>200</v>
      </c>
      <c r="H48" s="5">
        <v>1</v>
      </c>
      <c r="I48" s="4">
        <f t="shared" si="21"/>
        <v>200</v>
      </c>
      <c r="J48" s="2" t="s">
        <v>23</v>
      </c>
      <c r="K48" s="4">
        <v>200</v>
      </c>
      <c r="L48" s="5">
        <v>1</v>
      </c>
      <c r="M48" s="4">
        <f t="shared" si="22"/>
        <v>200</v>
      </c>
      <c r="N48" s="2" t="s">
        <v>99</v>
      </c>
      <c r="O48" s="4">
        <v>200</v>
      </c>
      <c r="P48" s="5">
        <v>2</v>
      </c>
      <c r="Q48" s="4">
        <f t="shared" si="23"/>
        <v>400</v>
      </c>
      <c r="R48" s="2" t="s">
        <v>100</v>
      </c>
      <c r="S48" s="4">
        <v>200</v>
      </c>
      <c r="T48" s="5">
        <v>3</v>
      </c>
      <c r="U48" s="20">
        <f t="shared" si="24"/>
        <v>600</v>
      </c>
      <c r="W48" s="1"/>
    </row>
    <row r="49" spans="1:23" ht="15" x14ac:dyDescent="0.25">
      <c r="A49" s="57" t="s">
        <v>101</v>
      </c>
      <c r="B49" s="3" t="s">
        <v>102</v>
      </c>
      <c r="C49" s="4">
        <v>1500</v>
      </c>
      <c r="D49" s="5">
        <v>1</v>
      </c>
      <c r="E49" s="4">
        <f t="shared" si="20"/>
        <v>1500</v>
      </c>
      <c r="F49" s="3" t="s">
        <v>102</v>
      </c>
      <c r="G49" s="4">
        <v>1500</v>
      </c>
      <c r="H49" s="5">
        <v>1</v>
      </c>
      <c r="I49" s="4">
        <f t="shared" si="21"/>
        <v>1500</v>
      </c>
      <c r="J49" s="3" t="s">
        <v>102</v>
      </c>
      <c r="K49" s="4">
        <f>C49</f>
        <v>1500</v>
      </c>
      <c r="L49" s="5">
        <v>1</v>
      </c>
      <c r="M49" s="4">
        <f t="shared" si="22"/>
        <v>1500</v>
      </c>
      <c r="N49" s="3" t="s">
        <v>102</v>
      </c>
      <c r="O49" s="4">
        <v>1500</v>
      </c>
      <c r="P49" s="5">
        <v>1</v>
      </c>
      <c r="Q49" s="4">
        <f t="shared" si="23"/>
        <v>1500</v>
      </c>
      <c r="R49" s="3" t="s">
        <v>102</v>
      </c>
      <c r="S49" s="4">
        <v>1500</v>
      </c>
      <c r="T49" s="5">
        <v>1</v>
      </c>
      <c r="U49" s="20">
        <f t="shared" si="24"/>
        <v>1500</v>
      </c>
      <c r="W49" s="1"/>
    </row>
    <row r="50" spans="1:23" ht="15" x14ac:dyDescent="0.25">
      <c r="A50" s="57" t="s">
        <v>103</v>
      </c>
      <c r="B50" s="3" t="s">
        <v>23</v>
      </c>
      <c r="C50" s="4">
        <v>1500</v>
      </c>
      <c r="D50" s="5">
        <v>1</v>
      </c>
      <c r="E50" s="4">
        <f t="shared" si="20"/>
        <v>1500</v>
      </c>
      <c r="F50" s="3" t="s">
        <v>23</v>
      </c>
      <c r="G50" s="4">
        <v>2500</v>
      </c>
      <c r="H50" s="5">
        <v>1</v>
      </c>
      <c r="I50" s="4">
        <f t="shared" si="21"/>
        <v>2500</v>
      </c>
      <c r="J50" s="3" t="s">
        <v>23</v>
      </c>
      <c r="K50" s="4">
        <v>4000</v>
      </c>
      <c r="L50" s="5">
        <v>1</v>
      </c>
      <c r="M50" s="4">
        <f t="shared" si="22"/>
        <v>4000</v>
      </c>
      <c r="N50" s="3" t="s">
        <v>23</v>
      </c>
      <c r="O50" s="4">
        <v>8000</v>
      </c>
      <c r="P50" s="5">
        <v>1</v>
      </c>
      <c r="Q50" s="4">
        <f t="shared" si="23"/>
        <v>8000</v>
      </c>
      <c r="R50" s="3" t="s">
        <v>23</v>
      </c>
      <c r="S50" s="4">
        <v>10000</v>
      </c>
      <c r="T50" s="5">
        <v>1</v>
      </c>
      <c r="U50" s="20">
        <f t="shared" si="24"/>
        <v>10000</v>
      </c>
      <c r="W50" s="1"/>
    </row>
    <row r="51" spans="1:23" ht="15" x14ac:dyDescent="0.25">
      <c r="A51" s="57" t="s">
        <v>104</v>
      </c>
      <c r="B51" s="3" t="s">
        <v>23</v>
      </c>
      <c r="C51" s="4">
        <v>10000</v>
      </c>
      <c r="D51" s="5">
        <v>1</v>
      </c>
      <c r="E51" s="4">
        <f t="shared" si="20"/>
        <v>10000</v>
      </c>
      <c r="F51" s="3" t="s">
        <v>23</v>
      </c>
      <c r="G51" s="4">
        <v>12000</v>
      </c>
      <c r="H51" s="5">
        <v>1</v>
      </c>
      <c r="I51" s="4">
        <f t="shared" si="21"/>
        <v>12000</v>
      </c>
      <c r="J51" s="3" t="s">
        <v>23</v>
      </c>
      <c r="K51" s="4">
        <v>14000</v>
      </c>
      <c r="L51" s="5">
        <v>1</v>
      </c>
      <c r="M51" s="4">
        <f t="shared" si="22"/>
        <v>14000</v>
      </c>
      <c r="N51" s="3" t="s">
        <v>23</v>
      </c>
      <c r="O51" s="4">
        <v>25000</v>
      </c>
      <c r="P51" s="5">
        <v>1</v>
      </c>
      <c r="Q51" s="4">
        <f t="shared" si="23"/>
        <v>25000</v>
      </c>
      <c r="R51" s="3" t="s">
        <v>23</v>
      </c>
      <c r="S51" s="4">
        <v>30000</v>
      </c>
      <c r="T51" s="5">
        <v>1</v>
      </c>
      <c r="U51" s="20">
        <f t="shared" si="24"/>
        <v>30000</v>
      </c>
      <c r="W51" s="1"/>
    </row>
    <row r="52" spans="1:23" ht="15" x14ac:dyDescent="0.25">
      <c r="A52" s="57" t="s">
        <v>105</v>
      </c>
      <c r="B52" s="3" t="s">
        <v>23</v>
      </c>
      <c r="C52" s="4"/>
      <c r="D52" s="5"/>
      <c r="E52" s="4">
        <f t="shared" si="20"/>
        <v>0</v>
      </c>
      <c r="F52" s="3" t="s">
        <v>23</v>
      </c>
      <c r="G52" s="4"/>
      <c r="H52" s="5"/>
      <c r="I52" s="4">
        <f t="shared" si="21"/>
        <v>0</v>
      </c>
      <c r="J52" s="3" t="s">
        <v>23</v>
      </c>
      <c r="K52" s="4"/>
      <c r="L52" s="5"/>
      <c r="M52" s="4">
        <f t="shared" si="22"/>
        <v>0</v>
      </c>
      <c r="N52" s="3" t="s">
        <v>106</v>
      </c>
      <c r="O52" s="4">
        <v>1000</v>
      </c>
      <c r="P52" s="5">
        <v>1</v>
      </c>
      <c r="Q52" s="4">
        <f t="shared" si="23"/>
        <v>1000</v>
      </c>
      <c r="R52" s="3" t="s">
        <v>106</v>
      </c>
      <c r="S52" s="4">
        <v>1000</v>
      </c>
      <c r="T52" s="5">
        <v>1</v>
      </c>
      <c r="U52" s="20">
        <f t="shared" si="24"/>
        <v>1000</v>
      </c>
      <c r="W52" s="1"/>
    </row>
    <row r="53" spans="1:23" ht="15" x14ac:dyDescent="0.25">
      <c r="A53" s="23" t="s">
        <v>107</v>
      </c>
      <c r="B53" s="15"/>
      <c r="C53" s="16">
        <f>SUM(C38:C52)</f>
        <v>28500</v>
      </c>
      <c r="D53" s="17"/>
      <c r="E53" s="16">
        <f>SUM(E38:E52)</f>
        <v>28500</v>
      </c>
      <c r="F53" s="15"/>
      <c r="G53" s="16">
        <f>SUM(G38:G52)</f>
        <v>33400</v>
      </c>
      <c r="H53" s="17"/>
      <c r="I53" s="16">
        <f>SUM(I38:I52)</f>
        <v>33400</v>
      </c>
      <c r="J53" s="15"/>
      <c r="K53" s="16">
        <f>SUM(K38:K52)</f>
        <v>40200</v>
      </c>
      <c r="L53" s="17"/>
      <c r="M53" s="16">
        <f>SUM(M38:M52)</f>
        <v>40200</v>
      </c>
      <c r="N53" s="15"/>
      <c r="O53" s="16">
        <f>SUM(O38:O52)</f>
        <v>88000</v>
      </c>
      <c r="P53" s="17"/>
      <c r="Q53" s="16">
        <f>SUM(Q38:Q52)</f>
        <v>89700</v>
      </c>
      <c r="R53" s="15"/>
      <c r="S53" s="16">
        <f>SUM(S38:S52)</f>
        <v>97000</v>
      </c>
      <c r="T53" s="17"/>
      <c r="U53" s="16">
        <f>SUM(U38:U52)</f>
        <v>99900</v>
      </c>
      <c r="W53" s="1"/>
    </row>
    <row r="54" spans="1:23" ht="26.25" x14ac:dyDescent="0.25">
      <c r="A54" s="57" t="s">
        <v>108</v>
      </c>
      <c r="B54" s="3" t="s">
        <v>23</v>
      </c>
      <c r="C54" s="4"/>
      <c r="D54" s="5"/>
      <c r="E54" s="4"/>
      <c r="F54" s="3" t="s">
        <v>23</v>
      </c>
      <c r="G54" s="4"/>
      <c r="H54" s="5"/>
      <c r="I54" s="4"/>
      <c r="J54" s="3" t="s">
        <v>23</v>
      </c>
      <c r="K54" s="4"/>
      <c r="L54" s="5"/>
      <c r="M54" s="4"/>
      <c r="N54" s="3" t="s">
        <v>109</v>
      </c>
      <c r="O54" s="4">
        <v>18000</v>
      </c>
      <c r="P54" s="5">
        <v>0</v>
      </c>
      <c r="Q54" s="4">
        <f t="shared" ref="Q54:Q55" si="25">P54*O54</f>
        <v>0</v>
      </c>
      <c r="R54" s="3" t="s">
        <v>109</v>
      </c>
      <c r="S54" s="4">
        <v>18000</v>
      </c>
      <c r="T54" s="5">
        <v>0</v>
      </c>
      <c r="U54" s="20">
        <f t="shared" ref="U54" si="26">T54*S54</f>
        <v>0</v>
      </c>
      <c r="W54" s="1"/>
    </row>
    <row r="55" spans="1:23" ht="90" x14ac:dyDescent="0.25">
      <c r="A55" s="57" t="s">
        <v>110</v>
      </c>
      <c r="B55" s="3" t="s">
        <v>23</v>
      </c>
      <c r="C55" s="4"/>
      <c r="D55" s="5"/>
      <c r="E55" s="4"/>
      <c r="F55" s="3" t="s">
        <v>23</v>
      </c>
      <c r="G55" s="4"/>
      <c r="H55" s="5"/>
      <c r="I55" s="4"/>
      <c r="J55" s="3" t="s">
        <v>23</v>
      </c>
      <c r="K55" s="4"/>
      <c r="L55" s="5"/>
      <c r="M55" s="4"/>
      <c r="N55" s="3" t="s">
        <v>111</v>
      </c>
      <c r="O55" s="4">
        <v>300</v>
      </c>
      <c r="P55" s="5">
        <v>0</v>
      </c>
      <c r="Q55" s="4">
        <f t="shared" si="25"/>
        <v>0</v>
      </c>
      <c r="R55" s="3" t="s">
        <v>111</v>
      </c>
      <c r="S55" s="4">
        <v>300</v>
      </c>
      <c r="T55" s="5">
        <v>0</v>
      </c>
      <c r="U55" s="20">
        <f t="shared" ref="U55" si="27">T55*S55</f>
        <v>0</v>
      </c>
      <c r="W55" s="1"/>
    </row>
    <row r="56" spans="1:23" ht="15" x14ac:dyDescent="0.25">
      <c r="A56" s="57" t="s">
        <v>112</v>
      </c>
      <c r="B56" s="3" t="s">
        <v>23</v>
      </c>
      <c r="C56" s="4">
        <v>2500</v>
      </c>
      <c r="D56" s="5">
        <v>1</v>
      </c>
      <c r="E56" s="4">
        <f>D56*C56</f>
        <v>2500</v>
      </c>
      <c r="F56" s="3" t="s">
        <v>23</v>
      </c>
      <c r="G56" s="4">
        <v>3000</v>
      </c>
      <c r="H56" s="5">
        <v>1</v>
      </c>
      <c r="I56" s="4">
        <f>H56*G56</f>
        <v>3000</v>
      </c>
      <c r="J56" s="3" t="s">
        <v>23</v>
      </c>
      <c r="K56" s="4">
        <v>3500</v>
      </c>
      <c r="L56" s="5">
        <v>1</v>
      </c>
      <c r="M56" s="4">
        <f>L56*K56</f>
        <v>3500</v>
      </c>
      <c r="N56" s="3" t="s">
        <v>23</v>
      </c>
      <c r="O56" s="4">
        <v>5000</v>
      </c>
      <c r="P56" s="5">
        <v>1</v>
      </c>
      <c r="Q56" s="4">
        <f>P56*O56</f>
        <v>5000</v>
      </c>
      <c r="R56" s="3" t="s">
        <v>23</v>
      </c>
      <c r="S56" s="4">
        <v>10000</v>
      </c>
      <c r="T56" s="5">
        <v>1</v>
      </c>
      <c r="U56" s="20">
        <f>T56*S56</f>
        <v>10000</v>
      </c>
      <c r="W56" s="1"/>
    </row>
    <row r="57" spans="1:23" ht="25.5" x14ac:dyDescent="0.2">
      <c r="A57" s="57" t="s">
        <v>113</v>
      </c>
      <c r="B57" s="3" t="s">
        <v>114</v>
      </c>
      <c r="C57" s="4">
        <v>2500</v>
      </c>
      <c r="D57" s="5">
        <v>1</v>
      </c>
      <c r="E57" s="4">
        <f t="shared" ref="E57" si="28">D57*C57</f>
        <v>2500</v>
      </c>
      <c r="F57" s="3" t="s">
        <v>114</v>
      </c>
      <c r="G57" s="4">
        <v>3000</v>
      </c>
      <c r="H57" s="5">
        <v>1</v>
      </c>
      <c r="I57" s="4">
        <f t="shared" ref="I57" si="29">H57*G57</f>
        <v>3000</v>
      </c>
      <c r="J57" s="3" t="s">
        <v>114</v>
      </c>
      <c r="K57" s="4">
        <v>3500</v>
      </c>
      <c r="L57" s="5">
        <v>1</v>
      </c>
      <c r="M57" s="4">
        <f>L57*K57</f>
        <v>3500</v>
      </c>
      <c r="N57" s="3" t="s">
        <v>114</v>
      </c>
      <c r="O57" s="4">
        <v>5000</v>
      </c>
      <c r="P57" s="5">
        <v>1</v>
      </c>
      <c r="Q57" s="4">
        <f t="shared" ref="Q57:Q58" si="30">P57*O57</f>
        <v>5000</v>
      </c>
      <c r="R57" s="3" t="s">
        <v>114</v>
      </c>
      <c r="S57" s="4">
        <v>5000</v>
      </c>
      <c r="T57" s="5">
        <v>2</v>
      </c>
      <c r="U57" s="20">
        <f t="shared" ref="U57:U58" si="31">T57*S57</f>
        <v>10000</v>
      </c>
    </row>
    <row r="58" spans="1:23" x14ac:dyDescent="0.2">
      <c r="A58" s="57" t="s">
        <v>115</v>
      </c>
      <c r="B58" s="3" t="s">
        <v>23</v>
      </c>
      <c r="C58" s="4"/>
      <c r="D58" s="5"/>
      <c r="E58" s="4"/>
      <c r="F58" s="3" t="s">
        <v>23</v>
      </c>
      <c r="G58" s="4"/>
      <c r="H58" s="5"/>
      <c r="I58" s="4"/>
      <c r="J58" s="3" t="s">
        <v>23</v>
      </c>
      <c r="K58" s="4"/>
      <c r="L58" s="5"/>
      <c r="M58" s="4"/>
      <c r="N58" s="58" t="s">
        <v>23</v>
      </c>
      <c r="O58" s="4">
        <v>2000</v>
      </c>
      <c r="P58" s="5">
        <v>0</v>
      </c>
      <c r="Q58" s="4">
        <f t="shared" si="30"/>
        <v>0</v>
      </c>
      <c r="R58" s="3" t="s">
        <v>23</v>
      </c>
      <c r="S58" s="4">
        <v>2000</v>
      </c>
      <c r="T58" s="5">
        <v>0</v>
      </c>
      <c r="U58" s="20">
        <f t="shared" si="31"/>
        <v>0</v>
      </c>
    </row>
    <row r="59" spans="1:23" x14ac:dyDescent="0.2">
      <c r="A59" s="23" t="s">
        <v>116</v>
      </c>
      <c r="B59" s="15"/>
      <c r="C59" s="16">
        <f>SUM(C56:C57)</f>
        <v>5000</v>
      </c>
      <c r="D59" s="17"/>
      <c r="E59" s="16">
        <f>SUM(E56:E57)</f>
        <v>5000</v>
      </c>
      <c r="F59" s="15"/>
      <c r="G59" s="16">
        <f>SUM(G56:G57)</f>
        <v>6000</v>
      </c>
      <c r="H59" s="17"/>
      <c r="I59" s="16">
        <f>SUM(I56:I57)</f>
        <v>6000</v>
      </c>
      <c r="J59" s="15"/>
      <c r="K59" s="16">
        <f>SUM(K56:K57)</f>
        <v>7000</v>
      </c>
      <c r="L59" s="17"/>
      <c r="M59" s="16">
        <f>SUM(M56:M57)</f>
        <v>7000</v>
      </c>
      <c r="N59" s="15"/>
      <c r="O59" s="16">
        <f>SUM(O54:O58)</f>
        <v>30300</v>
      </c>
      <c r="P59" s="17"/>
      <c r="Q59" s="16">
        <f>SUM(Q54:Q58)</f>
        <v>10000</v>
      </c>
      <c r="R59" s="15"/>
      <c r="S59" s="16">
        <f>SUM(S54:S58)</f>
        <v>35300</v>
      </c>
      <c r="T59" s="17"/>
      <c r="U59" s="16">
        <f>SUM(U54:U58)</f>
        <v>20000</v>
      </c>
    </row>
    <row r="60" spans="1:23" ht="26.25" thickBot="1" x14ac:dyDescent="0.25">
      <c r="A60" s="32" t="s">
        <v>117</v>
      </c>
      <c r="B60" s="24"/>
      <c r="C60" s="29">
        <f>C59+C53+C36+C19</f>
        <v>114500</v>
      </c>
      <c r="D60" s="26"/>
      <c r="E60" s="29">
        <f>E59+E53+E36+E19</f>
        <v>117900</v>
      </c>
      <c r="F60" s="27"/>
      <c r="G60" s="29">
        <f>G59+G53+G36+G19</f>
        <v>124400</v>
      </c>
      <c r="H60" s="25"/>
      <c r="I60" s="29">
        <f>I59+I53+I36+I19</f>
        <v>127800</v>
      </c>
      <c r="J60" s="27"/>
      <c r="K60" s="29">
        <f>K59+K53+K36+K19</f>
        <v>138700</v>
      </c>
      <c r="L60" s="26"/>
      <c r="M60" s="29">
        <f>M59+M53+M36+M19</f>
        <v>144000</v>
      </c>
      <c r="N60" s="27"/>
      <c r="O60" s="29">
        <f>O59+O53+O36+O19</f>
        <v>264600</v>
      </c>
      <c r="P60" s="25"/>
      <c r="Q60" s="29">
        <f>Q59+Q53+Q36+Q19</f>
        <v>286300</v>
      </c>
      <c r="R60" s="27"/>
      <c r="S60" s="29">
        <f>S59+S53+S36+S19</f>
        <v>284600</v>
      </c>
      <c r="T60" s="26"/>
      <c r="U60" s="29">
        <f>U59+U53+U36+U19</f>
        <v>337700</v>
      </c>
    </row>
  </sheetData>
  <sheetProtection algorithmName="SHA-512" hashValue="pyM8da2zs0V3/LmSQ/MOTSz47uO0HM37WcYPGnZy8QIwDEkLxRAIlDn+ju0bpDwj4LdQbcazrBci1JDPcSm1kQ==" saltValue="WFow4fokg+xdYnMs3UZ5YA==" spinCount="100000" sheet="1" formatCells="0" formatColumns="0" formatRow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2"/>
  <sheetViews>
    <sheetView rightToLeft="1" topLeftCell="A13" zoomScaleNormal="100" workbookViewId="0">
      <selection activeCell="C7" sqref="C7"/>
    </sheetView>
  </sheetViews>
  <sheetFormatPr defaultColWidth="9" defaultRowHeight="15" x14ac:dyDescent="0.25"/>
  <cols>
    <col min="1" max="1" width="3.375" style="70" customWidth="1"/>
    <col min="2" max="2" width="7.5" style="70" customWidth="1"/>
    <col min="3" max="3" width="9" style="70" customWidth="1"/>
    <col min="4" max="4" width="4.875" style="70" customWidth="1"/>
    <col min="5" max="9" width="9" style="70"/>
    <col min="10" max="10" width="13.5" style="70" customWidth="1"/>
    <col min="11" max="12" width="9" style="70"/>
    <col min="13" max="13" width="11.625" style="70" customWidth="1"/>
    <col min="14" max="16384" width="9" style="70"/>
  </cols>
  <sheetData>
    <row r="1" spans="2:13" ht="15.75" thickBot="1" x14ac:dyDescent="0.3"/>
    <row r="2" spans="2:13" x14ac:dyDescent="0.25">
      <c r="B2" s="71"/>
      <c r="C2" s="72"/>
      <c r="D2" s="72"/>
      <c r="E2" s="72"/>
      <c r="F2" s="72"/>
      <c r="G2" s="72"/>
      <c r="H2" s="72"/>
      <c r="I2" s="72"/>
      <c r="J2" s="72"/>
      <c r="K2" s="72"/>
      <c r="L2" s="72"/>
      <c r="M2" s="73"/>
    </row>
    <row r="3" spans="2:13" ht="23.25" x14ac:dyDescent="0.35">
      <c r="B3" s="74"/>
      <c r="C3" s="360" t="s">
        <v>118</v>
      </c>
      <c r="D3" s="360"/>
      <c r="E3" s="360"/>
      <c r="F3" s="360"/>
      <c r="G3" s="360"/>
      <c r="H3" s="360"/>
      <c r="I3" s="360"/>
      <c r="M3" s="75"/>
    </row>
    <row r="4" spans="2:13" ht="23.25" x14ac:dyDescent="0.25">
      <c r="B4" s="74"/>
      <c r="C4" s="361" t="s">
        <v>119</v>
      </c>
      <c r="D4" s="361"/>
      <c r="E4" s="361"/>
      <c r="F4" s="361"/>
      <c r="G4" s="361"/>
      <c r="H4" s="361"/>
      <c r="I4" s="361"/>
      <c r="M4" s="75"/>
    </row>
    <row r="5" spans="2:13" ht="23.25" x14ac:dyDescent="0.35">
      <c r="B5" s="74"/>
      <c r="C5" s="360" t="s">
        <v>120</v>
      </c>
      <c r="D5" s="360"/>
      <c r="E5" s="360"/>
      <c r="F5" s="360"/>
      <c r="G5" s="360"/>
      <c r="H5" s="360"/>
      <c r="I5" s="360"/>
      <c r="M5" s="75"/>
    </row>
    <row r="6" spans="2:13" ht="15.75" x14ac:dyDescent="0.25">
      <c r="B6" s="74"/>
      <c r="C6" s="76"/>
      <c r="M6" s="75"/>
    </row>
    <row r="7" spans="2:13" ht="20.25" x14ac:dyDescent="0.3">
      <c r="B7" s="74"/>
      <c r="C7" s="77" t="s">
        <v>121</v>
      </c>
      <c r="D7" s="77"/>
      <c r="E7" s="77"/>
      <c r="F7" s="77"/>
      <c r="G7" s="77"/>
      <c r="H7" s="77"/>
      <c r="I7" s="77"/>
      <c r="J7" s="329">
        <v>45536</v>
      </c>
      <c r="M7" s="75"/>
    </row>
    <row r="8" spans="2:13" x14ac:dyDescent="0.25">
      <c r="B8" s="74"/>
      <c r="M8" s="75"/>
    </row>
    <row r="9" spans="2:13" ht="90.75" customHeight="1" x14ac:dyDescent="0.25">
      <c r="B9" s="362" t="s">
        <v>122</v>
      </c>
      <c r="C9" s="363"/>
      <c r="D9" s="363"/>
      <c r="E9" s="363"/>
      <c r="F9" s="363"/>
      <c r="G9" s="363"/>
      <c r="H9" s="363"/>
      <c r="I9" s="363"/>
      <c r="J9" s="363"/>
      <c r="K9" s="363"/>
      <c r="L9" s="363"/>
      <c r="M9" s="364"/>
    </row>
    <row r="10" spans="2:13" ht="61.5" customHeight="1" x14ac:dyDescent="0.25">
      <c r="B10" s="362" t="s">
        <v>123</v>
      </c>
      <c r="C10" s="363"/>
      <c r="D10" s="363"/>
      <c r="E10" s="363"/>
      <c r="F10" s="363"/>
      <c r="G10" s="363"/>
      <c r="H10" s="363"/>
      <c r="I10" s="363"/>
      <c r="J10" s="363"/>
      <c r="K10" s="363"/>
      <c r="L10" s="363"/>
      <c r="M10" s="364"/>
    </row>
    <row r="11" spans="2:13" ht="44.25" customHeight="1" x14ac:dyDescent="0.25">
      <c r="B11" s="365" t="s">
        <v>124</v>
      </c>
      <c r="C11" s="366"/>
      <c r="D11" s="366"/>
      <c r="E11" s="366"/>
      <c r="F11" s="366"/>
      <c r="G11" s="366"/>
      <c r="H11" s="366"/>
      <c r="I11" s="366"/>
      <c r="J11" s="366"/>
      <c r="K11" s="366"/>
      <c r="L11" s="366"/>
      <c r="M11" s="367"/>
    </row>
    <row r="12" spans="2:13" ht="62.25" customHeight="1" x14ac:dyDescent="0.25">
      <c r="B12" s="362" t="s">
        <v>125</v>
      </c>
      <c r="C12" s="363"/>
      <c r="D12" s="363"/>
      <c r="E12" s="363"/>
      <c r="F12" s="363"/>
      <c r="G12" s="363"/>
      <c r="H12" s="363"/>
      <c r="I12" s="363"/>
      <c r="J12" s="363"/>
      <c r="K12" s="363"/>
      <c r="L12" s="363"/>
      <c r="M12" s="364"/>
    </row>
    <row r="13" spans="2:13" ht="30" customHeight="1" x14ac:dyDescent="0.25">
      <c r="B13" s="362" t="s">
        <v>126</v>
      </c>
      <c r="C13" s="363"/>
      <c r="D13" s="363"/>
      <c r="E13" s="363"/>
      <c r="F13" s="363"/>
      <c r="G13" s="363"/>
      <c r="H13" s="363"/>
      <c r="I13" s="363"/>
      <c r="J13" s="363"/>
      <c r="K13" s="363"/>
      <c r="L13" s="363"/>
      <c r="M13" s="364"/>
    </row>
    <row r="14" spans="2:13" ht="30" customHeight="1" x14ac:dyDescent="0.25">
      <c r="B14" s="362" t="s">
        <v>127</v>
      </c>
      <c r="C14" s="363"/>
      <c r="D14" s="363"/>
      <c r="E14" s="363"/>
      <c r="F14" s="363"/>
      <c r="G14" s="363"/>
      <c r="H14" s="363"/>
      <c r="I14" s="363"/>
      <c r="J14" s="363"/>
      <c r="K14" s="363"/>
      <c r="L14" s="363"/>
      <c r="M14" s="364"/>
    </row>
    <row r="15" spans="2:13" ht="30" customHeight="1" x14ac:dyDescent="0.25">
      <c r="B15" s="365" t="s">
        <v>128</v>
      </c>
      <c r="C15" s="366"/>
      <c r="D15" s="366"/>
      <c r="E15" s="366"/>
      <c r="F15" s="366"/>
      <c r="G15" s="366"/>
      <c r="H15" s="366"/>
      <c r="I15" s="366"/>
      <c r="J15" s="366"/>
      <c r="K15" s="366"/>
      <c r="L15" s="366"/>
      <c r="M15" s="367"/>
    </row>
    <row r="16" spans="2:13" ht="33" customHeight="1" x14ac:dyDescent="0.25">
      <c r="B16" s="362" t="s">
        <v>129</v>
      </c>
      <c r="C16" s="363"/>
      <c r="D16" s="363"/>
      <c r="E16" s="363"/>
      <c r="F16" s="363"/>
      <c r="G16" s="363"/>
      <c r="H16" s="363"/>
      <c r="I16" s="363"/>
      <c r="J16" s="363"/>
      <c r="K16" s="363"/>
      <c r="L16" s="363"/>
      <c r="M16" s="364"/>
    </row>
    <row r="17" spans="2:13" ht="33" customHeight="1" x14ac:dyDescent="0.25">
      <c r="B17" s="78"/>
      <c r="C17" s="79"/>
      <c r="D17" s="79"/>
      <c r="E17" s="79"/>
      <c r="F17" s="79"/>
      <c r="G17" s="79"/>
      <c r="H17" s="79"/>
      <c r="I17" s="79"/>
      <c r="J17" s="79"/>
      <c r="K17" s="79"/>
      <c r="L17" s="79"/>
      <c r="M17" s="80"/>
    </row>
    <row r="18" spans="2:13" ht="15.75" x14ac:dyDescent="0.25">
      <c r="B18" s="348" t="s">
        <v>130</v>
      </c>
      <c r="C18" s="349"/>
      <c r="D18" s="349"/>
      <c r="E18" s="349"/>
      <c r="F18" s="349"/>
      <c r="G18" s="349"/>
      <c r="H18" s="349"/>
      <c r="I18" s="349"/>
      <c r="J18" s="349"/>
      <c r="K18" s="349"/>
      <c r="L18" s="349"/>
      <c r="M18" s="350"/>
    </row>
    <row r="19" spans="2:13" ht="15.75" x14ac:dyDescent="0.25">
      <c r="B19" s="81"/>
      <c r="C19" s="82"/>
      <c r="D19" s="82"/>
      <c r="E19" s="82"/>
      <c r="F19" s="82"/>
      <c r="G19" s="82"/>
      <c r="H19" s="82"/>
      <c r="I19" s="82"/>
      <c r="J19" s="82"/>
      <c r="K19" s="82"/>
      <c r="L19" s="82"/>
      <c r="M19" s="83"/>
    </row>
    <row r="20" spans="2:13" ht="41.25" customHeight="1" x14ac:dyDescent="0.25">
      <c r="B20" s="351" t="s">
        <v>131</v>
      </c>
      <c r="C20" s="352"/>
      <c r="D20" s="352"/>
      <c r="E20" s="352"/>
      <c r="F20" s="352"/>
      <c r="G20" s="352"/>
      <c r="H20" s="352"/>
      <c r="I20" s="352"/>
      <c r="J20" s="352"/>
      <c r="K20" s="352"/>
      <c r="L20" s="352"/>
      <c r="M20" s="353"/>
    </row>
    <row r="21" spans="2:13" ht="39" customHeight="1" x14ac:dyDescent="0.25">
      <c r="B21" s="354" t="s">
        <v>132</v>
      </c>
      <c r="C21" s="355"/>
      <c r="D21" s="355"/>
      <c r="E21" s="355"/>
      <c r="F21" s="355"/>
      <c r="G21" s="355"/>
      <c r="H21" s="355"/>
      <c r="I21" s="355"/>
      <c r="J21" s="355"/>
      <c r="K21" s="355"/>
      <c r="L21" s="355"/>
      <c r="M21" s="356"/>
    </row>
    <row r="22" spans="2:13" ht="48" customHeight="1" thickBot="1" x14ac:dyDescent="0.3">
      <c r="B22" s="357" t="s">
        <v>133</v>
      </c>
      <c r="C22" s="358"/>
      <c r="D22" s="358"/>
      <c r="E22" s="358"/>
      <c r="F22" s="358"/>
      <c r="G22" s="358"/>
      <c r="H22" s="358"/>
      <c r="I22" s="358"/>
      <c r="J22" s="358"/>
      <c r="K22" s="358"/>
      <c r="L22" s="358"/>
      <c r="M22" s="359"/>
    </row>
  </sheetData>
  <sheetProtection password="CC3D" sheet="1" formatCells="0" formatColumns="0" formatRows="0"/>
  <mergeCells count="15">
    <mergeCell ref="B18:M18"/>
    <mergeCell ref="B20:M20"/>
    <mergeCell ref="B21:M21"/>
    <mergeCell ref="B22:M22"/>
    <mergeCell ref="C3:I3"/>
    <mergeCell ref="C4:I4"/>
    <mergeCell ref="C5:I5"/>
    <mergeCell ref="B9:M9"/>
    <mergeCell ref="B10:M10"/>
    <mergeCell ref="B12:M12"/>
    <mergeCell ref="B16:M16"/>
    <mergeCell ref="B11:M11"/>
    <mergeCell ref="B15:M15"/>
    <mergeCell ref="B14:M14"/>
    <mergeCell ref="B13:M13"/>
  </mergeCells>
  <pageMargins left="0.7" right="0.7"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2"/>
  <sheetViews>
    <sheetView showGridLines="0" rightToLeft="1" zoomScaleNormal="100" workbookViewId="0">
      <selection activeCell="C19" sqref="C19"/>
    </sheetView>
  </sheetViews>
  <sheetFormatPr defaultColWidth="9" defaultRowHeight="15" x14ac:dyDescent="0.25"/>
  <cols>
    <col min="1" max="1" width="3.125" style="43" customWidth="1"/>
    <col min="2" max="2" width="3.375" style="43" customWidth="1"/>
    <col min="3" max="3" width="39" style="43" customWidth="1"/>
    <col min="4" max="4" width="36.875" style="43" customWidth="1"/>
    <col min="5" max="16384" width="9" style="43"/>
  </cols>
  <sheetData>
    <row r="7" spans="2:4" ht="20.25" x14ac:dyDescent="0.3">
      <c r="B7" s="282" t="s">
        <v>134</v>
      </c>
    </row>
    <row r="8" spans="2:4" ht="18.75" x14ac:dyDescent="0.3">
      <c r="B8" s="65"/>
    </row>
    <row r="9" spans="2:4" ht="34.5" customHeight="1" x14ac:dyDescent="0.25">
      <c r="B9" s="332"/>
      <c r="C9" s="333" t="s">
        <v>135</v>
      </c>
      <c r="D9" s="334" t="s">
        <v>136</v>
      </c>
    </row>
    <row r="10" spans="2:4" ht="34.5" customHeight="1" x14ac:dyDescent="0.25">
      <c r="B10" s="338" t="s">
        <v>137</v>
      </c>
      <c r="C10" s="339"/>
      <c r="D10" s="340"/>
    </row>
    <row r="11" spans="2:4" ht="34.5" customHeight="1" x14ac:dyDescent="0.25">
      <c r="B11" s="341"/>
      <c r="C11" s="342" t="s">
        <v>138</v>
      </c>
      <c r="D11" s="343" t="s">
        <v>139</v>
      </c>
    </row>
    <row r="12" spans="2:4" ht="34.5" customHeight="1" x14ac:dyDescent="0.25">
      <c r="B12" s="344"/>
      <c r="C12" s="345" t="s">
        <v>140</v>
      </c>
      <c r="D12" s="346" t="s">
        <v>141</v>
      </c>
    </row>
    <row r="13" spans="2:4" ht="34.5" customHeight="1" x14ac:dyDescent="0.25">
      <c r="B13" s="335" t="s">
        <v>142</v>
      </c>
      <c r="C13" s="336"/>
      <c r="D13" s="334"/>
    </row>
    <row r="14" spans="2:4" ht="34.5" customHeight="1" x14ac:dyDescent="0.25">
      <c r="B14" s="332">
        <v>1</v>
      </c>
      <c r="C14" s="336" t="s">
        <v>143</v>
      </c>
      <c r="D14" s="334" t="s">
        <v>144</v>
      </c>
    </row>
    <row r="15" spans="2:4" ht="34.5" customHeight="1" x14ac:dyDescent="0.25">
      <c r="B15" s="332">
        <v>2</v>
      </c>
      <c r="C15" s="336" t="s">
        <v>145</v>
      </c>
      <c r="D15" s="334" t="s">
        <v>146</v>
      </c>
    </row>
    <row r="16" spans="2:4" ht="34.5" customHeight="1" x14ac:dyDescent="0.25">
      <c r="B16" s="332">
        <v>3</v>
      </c>
      <c r="C16" s="336" t="s">
        <v>147</v>
      </c>
      <c r="D16" s="334" t="s">
        <v>148</v>
      </c>
    </row>
    <row r="17" spans="2:4" ht="34.5" customHeight="1" x14ac:dyDescent="0.25">
      <c r="B17" s="332">
        <v>4</v>
      </c>
      <c r="C17" s="336" t="s">
        <v>149</v>
      </c>
      <c r="D17" s="334" t="s">
        <v>150</v>
      </c>
    </row>
    <row r="18" spans="2:4" ht="34.5" customHeight="1" x14ac:dyDescent="0.25">
      <c r="B18" s="332">
        <v>5</v>
      </c>
      <c r="C18" s="336" t="s">
        <v>151</v>
      </c>
      <c r="D18" s="334" t="s">
        <v>152</v>
      </c>
    </row>
    <row r="19" spans="2:4" ht="34.5" customHeight="1" x14ac:dyDescent="0.25">
      <c r="B19" s="332">
        <v>6</v>
      </c>
      <c r="C19" s="336" t="s">
        <v>153</v>
      </c>
      <c r="D19" s="334" t="s">
        <v>154</v>
      </c>
    </row>
    <row r="20" spans="2:4" ht="34.5" customHeight="1" x14ac:dyDescent="0.25">
      <c r="B20" s="332">
        <v>7</v>
      </c>
      <c r="C20" s="336" t="s">
        <v>155</v>
      </c>
      <c r="D20" s="334" t="s">
        <v>156</v>
      </c>
    </row>
    <row r="21" spans="2:4" ht="34.5" customHeight="1" x14ac:dyDescent="0.25">
      <c r="B21" s="335" t="s">
        <v>157</v>
      </c>
      <c r="C21" s="336"/>
      <c r="D21" s="334"/>
    </row>
    <row r="22" spans="2:4" ht="34.5" customHeight="1" x14ac:dyDescent="0.25">
      <c r="B22" s="332"/>
      <c r="C22" s="336" t="s">
        <v>158</v>
      </c>
      <c r="D22" s="334" t="s">
        <v>159</v>
      </c>
    </row>
  </sheetData>
  <sheetProtection password="CC3D" sheet="1" formatCells="0" formatColumns="0" formatRows="0"/>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1"/>
  <sheetViews>
    <sheetView showGridLines="0" rightToLeft="1" tabSelected="1" zoomScaleNormal="100" workbookViewId="0"/>
  </sheetViews>
  <sheetFormatPr defaultColWidth="9" defaultRowHeight="15" x14ac:dyDescent="0.25"/>
  <cols>
    <col min="1" max="1" width="2.25" style="84" customWidth="1"/>
    <col min="2" max="2" width="5.125" style="84" customWidth="1"/>
    <col min="3" max="3" width="43.875" style="90" customWidth="1"/>
    <col min="4" max="4" width="21.625" style="84" customWidth="1"/>
    <col min="5" max="5" width="25.25" style="84" customWidth="1"/>
    <col min="6" max="16384" width="9" style="84"/>
  </cols>
  <sheetData>
    <row r="1" spans="2:5" x14ac:dyDescent="0.25">
      <c r="C1" s="85" t="str">
        <f>'תוכן עניינים'!$B$7</f>
        <v xml:space="preserve">תקן ריהוט וציוד לדיור קהילתי </v>
      </c>
    </row>
    <row r="2" spans="2:5" x14ac:dyDescent="0.25">
      <c r="B2" s="322"/>
      <c r="C2" s="324" t="s">
        <v>160</v>
      </c>
      <c r="D2" s="87"/>
      <c r="E2" s="88"/>
    </row>
    <row r="3" spans="2:5" x14ac:dyDescent="0.25">
      <c r="B3" s="89"/>
      <c r="C3" s="90" t="s">
        <v>161</v>
      </c>
      <c r="E3" s="91"/>
    </row>
    <row r="4" spans="2:5" x14ac:dyDescent="0.25">
      <c r="B4" s="69"/>
      <c r="C4" s="90" t="s">
        <v>162</v>
      </c>
      <c r="E4" s="91"/>
    </row>
    <row r="5" spans="2:5" x14ac:dyDescent="0.25">
      <c r="B5" s="89"/>
      <c r="C5" s="90" t="s">
        <v>163</v>
      </c>
      <c r="E5" s="91"/>
    </row>
    <row r="6" spans="2:5" ht="14.25" customHeight="1" x14ac:dyDescent="0.25">
      <c r="B6" s="89"/>
      <c r="C6" s="90" t="s">
        <v>164</v>
      </c>
      <c r="E6" s="91"/>
    </row>
    <row r="7" spans="2:5" x14ac:dyDescent="0.25">
      <c r="B7" s="86"/>
      <c r="C7" s="323" t="s">
        <v>165</v>
      </c>
      <c r="D7" s="87"/>
      <c r="E7" s="88"/>
    </row>
    <row r="8" spans="2:5" x14ac:dyDescent="0.25">
      <c r="B8" s="89" t="s">
        <v>166</v>
      </c>
      <c r="E8" s="91"/>
    </row>
    <row r="9" spans="2:5" x14ac:dyDescent="0.25">
      <c r="B9" s="89"/>
      <c r="C9" s="90" t="s">
        <v>167</v>
      </c>
      <c r="D9" s="64"/>
      <c r="E9" s="281" t="str">
        <f t="shared" ref="E9:E15" si="0">IF(D9="","יש למלא","")</f>
        <v>יש למלא</v>
      </c>
    </row>
    <row r="10" spans="2:5" x14ac:dyDescent="0.25">
      <c r="B10" s="89"/>
      <c r="C10" s="90" t="s">
        <v>168</v>
      </c>
      <c r="D10" s="66"/>
      <c r="E10" s="281" t="str">
        <f t="shared" si="0"/>
        <v>יש למלא</v>
      </c>
    </row>
    <row r="11" spans="2:5" x14ac:dyDescent="0.25">
      <c r="B11" s="89"/>
      <c r="C11" s="90" t="s">
        <v>169</v>
      </c>
      <c r="D11" s="66"/>
      <c r="E11" s="281" t="str">
        <f t="shared" si="0"/>
        <v>יש למלא</v>
      </c>
    </row>
    <row r="12" spans="2:5" x14ac:dyDescent="0.25">
      <c r="B12" s="89"/>
      <c r="C12" s="90" t="s">
        <v>170</v>
      </c>
      <c r="D12" s="66"/>
      <c r="E12" s="281" t="str">
        <f t="shared" si="0"/>
        <v>יש למלא</v>
      </c>
    </row>
    <row r="13" spans="2:5" x14ac:dyDescent="0.25">
      <c r="B13" s="89"/>
      <c r="C13" s="90" t="s">
        <v>171</v>
      </c>
      <c r="D13" s="66"/>
      <c r="E13" s="281" t="str">
        <f t="shared" si="0"/>
        <v>יש למלא</v>
      </c>
    </row>
    <row r="14" spans="2:5" x14ac:dyDescent="0.25">
      <c r="B14" s="89"/>
      <c r="C14" s="90" t="s">
        <v>172</v>
      </c>
      <c r="D14" s="67"/>
      <c r="E14" s="281" t="str">
        <f t="shared" si="0"/>
        <v>יש למלא</v>
      </c>
    </row>
    <row r="15" spans="2:5" x14ac:dyDescent="0.25">
      <c r="B15" s="89"/>
      <c r="C15" s="90" t="s">
        <v>173</v>
      </c>
      <c r="D15" s="68"/>
      <c r="E15" s="281" t="str">
        <f t="shared" si="0"/>
        <v>יש למלא</v>
      </c>
    </row>
    <row r="16" spans="2:5" x14ac:dyDescent="0.25">
      <c r="B16" s="89"/>
      <c r="C16" s="309"/>
      <c r="D16" s="326"/>
      <c r="E16" s="91"/>
    </row>
    <row r="17" spans="2:5" x14ac:dyDescent="0.25">
      <c r="B17" s="92" t="s">
        <v>174</v>
      </c>
      <c r="C17" s="93"/>
      <c r="D17" s="94"/>
      <c r="E17" s="88"/>
    </row>
    <row r="18" spans="2:5" x14ac:dyDescent="0.25">
      <c r="B18" s="89"/>
      <c r="C18" s="90" t="s">
        <v>175</v>
      </c>
      <c r="D18" s="66"/>
      <c r="E18" s="281" t="str">
        <f>IF(D18="","יש למלא","")</f>
        <v>יש למלא</v>
      </c>
    </row>
    <row r="19" spans="2:5" x14ac:dyDescent="0.25">
      <c r="B19" s="89"/>
      <c r="C19" s="90" t="s">
        <v>176</v>
      </c>
      <c r="D19" s="66"/>
      <c r="E19" s="281" t="str">
        <f t="shared" ref="E19:E22" si="1">IF(D19="","יש למלא","")</f>
        <v>יש למלא</v>
      </c>
    </row>
    <row r="20" spans="2:5" x14ac:dyDescent="0.25">
      <c r="B20" s="89"/>
      <c r="C20" s="90" t="s">
        <v>177</v>
      </c>
      <c r="D20" s="66"/>
      <c r="E20" s="281" t="str">
        <f t="shared" si="1"/>
        <v>יש למלא</v>
      </c>
    </row>
    <row r="21" spans="2:5" x14ac:dyDescent="0.25">
      <c r="B21" s="89"/>
      <c r="C21" s="90" t="s">
        <v>178</v>
      </c>
      <c r="D21" s="67"/>
      <c r="E21" s="281" t="str">
        <f t="shared" si="1"/>
        <v>יש למלא</v>
      </c>
    </row>
    <row r="22" spans="2:5" x14ac:dyDescent="0.25">
      <c r="B22" s="89"/>
      <c r="C22" s="90" t="s">
        <v>179</v>
      </c>
      <c r="D22" s="68"/>
      <c r="E22" s="281" t="str">
        <f t="shared" si="1"/>
        <v>יש למלא</v>
      </c>
    </row>
    <row r="23" spans="2:5" x14ac:dyDescent="0.25">
      <c r="B23" s="95"/>
      <c r="C23" s="96"/>
      <c r="D23" s="97"/>
      <c r="E23" s="98"/>
    </row>
    <row r="24" spans="2:5" x14ac:dyDescent="0.25">
      <c r="B24" s="86" t="s">
        <v>180</v>
      </c>
      <c r="C24" s="93"/>
      <c r="D24" s="94"/>
      <c r="E24" s="88"/>
    </row>
    <row r="25" spans="2:5" x14ac:dyDescent="0.25">
      <c r="B25" s="89"/>
      <c r="C25" s="90" t="s">
        <v>181</v>
      </c>
      <c r="D25" s="66"/>
      <c r="E25" s="281" t="str">
        <f>IF(D25="","יש לבחור מהרשימה","")</f>
        <v>יש לבחור מהרשימה</v>
      </c>
    </row>
    <row r="26" spans="2:5" x14ac:dyDescent="0.25">
      <c r="B26" s="89"/>
      <c r="C26" s="90" t="s">
        <v>182</v>
      </c>
      <c r="D26" s="66" t="str">
        <f>IF(D25="כן",10,"")</f>
        <v/>
      </c>
      <c r="E26" s="281" t="str">
        <f>IF(D26="","יש לבחור בין 1 לבין 10 ","")</f>
        <v xml:space="preserve">יש לבחור בין 1 לבין 10 </v>
      </c>
    </row>
    <row r="27" spans="2:5" x14ac:dyDescent="0.25">
      <c r="B27" s="89"/>
      <c r="C27" s="90" t="s">
        <v>183</v>
      </c>
      <c r="D27" s="66"/>
      <c r="E27" s="281" t="str">
        <f>IF(D27="","יש לבחור מהרשימה","")</f>
        <v>יש לבחור מהרשימה</v>
      </c>
    </row>
    <row r="28" spans="2:5" s="171" customFormat="1" x14ac:dyDescent="0.25">
      <c r="B28" s="304"/>
      <c r="C28" s="90" t="s">
        <v>184</v>
      </c>
      <c r="D28" s="66"/>
      <c r="E28" s="281" t="str">
        <f>IF(D28="","יש לבחור מהרשימה","")</f>
        <v>יש לבחור מהרשימה</v>
      </c>
    </row>
    <row r="29" spans="2:5" s="171" customFormat="1" x14ac:dyDescent="0.25">
      <c r="B29" s="304"/>
      <c r="C29" s="90"/>
      <c r="D29" s="90"/>
      <c r="E29" s="327"/>
    </row>
    <row r="30" spans="2:5" x14ac:dyDescent="0.25">
      <c r="B30" s="86"/>
      <c r="C30" s="302" t="s">
        <v>185</v>
      </c>
      <c r="D30" s="66"/>
      <c r="E30" s="281" t="str">
        <f>IF(D30="","יש למלא אם רלוונטי","")</f>
        <v>יש למלא אם רלוונטי</v>
      </c>
    </row>
    <row r="31" spans="2:5" x14ac:dyDescent="0.25">
      <c r="B31" s="95"/>
      <c r="C31" s="306" t="s">
        <v>186</v>
      </c>
      <c r="D31" s="66"/>
      <c r="E31" s="281" t="str">
        <f>IF(D31="","יש למלא אם רלוונטי","")</f>
        <v>יש למלא אם רלוונטי</v>
      </c>
    </row>
    <row r="32" spans="2:5" x14ac:dyDescent="0.25">
      <c r="B32" s="89"/>
      <c r="C32" s="307"/>
      <c r="D32" s="303"/>
      <c r="E32" s="281"/>
    </row>
    <row r="33" spans="2:5" x14ac:dyDescent="0.25">
      <c r="B33" s="86"/>
      <c r="C33" s="302" t="s">
        <v>187</v>
      </c>
      <c r="D33" s="66"/>
      <c r="E33" s="281" t="str">
        <f>IF(D33="","יש למלא אם רלוונטי","")</f>
        <v>יש למלא אם רלוונטי</v>
      </c>
    </row>
    <row r="34" spans="2:5" x14ac:dyDescent="0.25">
      <c r="B34" s="95"/>
      <c r="C34" s="306" t="s">
        <v>188</v>
      </c>
      <c r="D34" s="66"/>
      <c r="E34" s="281" t="str">
        <f>IF(D34="","יש למלא אם רלוונטי","")</f>
        <v>יש למלא אם רלוונטי</v>
      </c>
    </row>
    <row r="35" spans="2:5" x14ac:dyDescent="0.25">
      <c r="B35" s="89"/>
      <c r="C35" s="307"/>
      <c r="D35" s="303"/>
      <c r="E35" s="281"/>
    </row>
    <row r="36" spans="2:5" x14ac:dyDescent="0.25">
      <c r="B36" s="86"/>
      <c r="C36" s="310" t="s">
        <v>189</v>
      </c>
      <c r="D36" s="66"/>
      <c r="E36" s="281" t="str">
        <f t="shared" ref="E36" si="2">IF(D36="","יש למלא","")</f>
        <v>יש למלא</v>
      </c>
    </row>
    <row r="37" spans="2:5" x14ac:dyDescent="0.25">
      <c r="B37" s="95"/>
      <c r="C37" s="306" t="s">
        <v>190</v>
      </c>
      <c r="D37" s="283">
        <f>D31+D34</f>
        <v>0</v>
      </c>
      <c r="E37" s="91"/>
    </row>
    <row r="38" spans="2:5" x14ac:dyDescent="0.25">
      <c r="B38" s="89"/>
      <c r="C38" s="142" t="s">
        <v>191</v>
      </c>
      <c r="E38" s="91"/>
    </row>
    <row r="39" spans="2:5" x14ac:dyDescent="0.25">
      <c r="B39" s="86"/>
      <c r="C39" s="302" t="s">
        <v>192</v>
      </c>
      <c r="D39" s="66"/>
      <c r="E39" s="281" t="str">
        <f>IF(D39="","יש למלא אם רלוונטי","")</f>
        <v>יש למלא אם רלוונטי</v>
      </c>
    </row>
    <row r="40" spans="2:5" x14ac:dyDescent="0.25">
      <c r="B40" s="89"/>
      <c r="C40" s="305" t="s">
        <v>193</v>
      </c>
      <c r="D40" s="66"/>
      <c r="E40" s="281" t="str">
        <f t="shared" ref="E40:E41" si="3">IF(D40="","יש למלא אם רלוונטי","")</f>
        <v>יש למלא אם רלוונטי</v>
      </c>
    </row>
    <row r="41" spans="2:5" x14ac:dyDescent="0.25">
      <c r="B41" s="95"/>
      <c r="C41" s="308" t="s">
        <v>194</v>
      </c>
      <c r="D41" s="66"/>
      <c r="E41" s="281" t="str">
        <f t="shared" si="3"/>
        <v>יש למלא אם רלוונטי</v>
      </c>
    </row>
    <row r="42" spans="2:5" x14ac:dyDescent="0.25">
      <c r="B42" s="89"/>
      <c r="C42" s="309"/>
      <c r="D42" s="309"/>
      <c r="E42" s="281"/>
    </row>
    <row r="43" spans="2:5" x14ac:dyDescent="0.25">
      <c r="B43" s="86"/>
      <c r="C43" s="310" t="s">
        <v>195</v>
      </c>
      <c r="D43" s="66"/>
      <c r="E43" s="281" t="str">
        <f>IF(D43="","יש לבחור מהרשימה","")</f>
        <v>יש לבחור מהרשימה</v>
      </c>
    </row>
    <row r="44" spans="2:5" x14ac:dyDescent="0.25">
      <c r="B44" s="95"/>
      <c r="C44" s="306" t="s">
        <v>196</v>
      </c>
      <c r="D44" s="67"/>
      <c r="E44" s="281" t="str">
        <f>IF(D43="כן","יש למלא","")</f>
        <v/>
      </c>
    </row>
    <row r="45" spans="2:5" x14ac:dyDescent="0.25">
      <c r="B45" s="95"/>
      <c r="C45" s="96"/>
      <c r="D45" s="99"/>
      <c r="E45" s="98"/>
    </row>
    <row r="46" spans="2:5" x14ac:dyDescent="0.25">
      <c r="C46" s="84"/>
    </row>
    <row r="47" spans="2:5" x14ac:dyDescent="0.25">
      <c r="C47" s="84"/>
    </row>
    <row r="48" spans="2:5" x14ac:dyDescent="0.25">
      <c r="C48" s="84"/>
    </row>
    <row r="49" spans="3:3" x14ac:dyDescent="0.25">
      <c r="C49" s="84"/>
    </row>
    <row r="50" spans="3:3" x14ac:dyDescent="0.25">
      <c r="C50" s="84"/>
    </row>
    <row r="51" spans="3:3" x14ac:dyDescent="0.25">
      <c r="C51" s="84"/>
    </row>
  </sheetData>
  <sheetProtection algorithmName="SHA-512" hashValue="jsJazgz4yTJpJZbjQ3HEi3Bk8KEHSEw/JUhw56HZgdYxabzzC51bKhj4eoXKfc7cYDzWvLsHB20Z97/jWmP/fA==" saltValue="NIufPz7LKajuZ8S8o19PKQ==" spinCount="100000" sheet="1" formatCells="0" formatColumns="0" formatRows="0"/>
  <dataValidations count="4">
    <dataValidation type="list" allowBlank="1" showInputMessage="1" showErrorMessage="1" sqref="D25 D43 D27:D28">
      <formula1>"כן, לא"</formula1>
    </dataValidation>
    <dataValidation type="whole" operator="lessThanOrEqual" allowBlank="1" showInputMessage="1" showErrorMessage="1" errorTitle="הגבלת כמות" error="לא יותר מ-8 דיירים לחדר אחד" promptTitle="הגבלת כמות" prompt="לא יותר מ-8 דיירים לחדר אחד" sqref="D31">
      <formula1>D30*8</formula1>
    </dataValidation>
    <dataValidation type="whole" allowBlank="1" showInputMessage="1" showErrorMessage="1" errorTitle="הגבלת כמות" error="מ-9 עד 24 דיירים לחדר אחד" promptTitle="הגבלת כמות" prompt="מ-9 עד 24 דיירים לחדר אחד" sqref="D34">
      <formula1>D33*9</formula1>
      <formula2>D33*24</formula2>
    </dataValidation>
    <dataValidation type="whole" operator="lessThanOrEqual" allowBlank="1" showInputMessage="1" showErrorMessage="1" errorTitle="הגבלת כמות" error="לא יותר מסה&quot;כ דיירים" promptTitle="הגבלת כמות" prompt="לא יותר מסה&quot;כ דיירים" sqref="D36">
      <formula1>D37</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rightToLeft="1" zoomScaleNormal="100" workbookViewId="0">
      <pane xSplit="3" ySplit="4" topLeftCell="E5" activePane="bottomRight" state="frozen"/>
      <selection pane="topRight"/>
      <selection pane="bottomLeft"/>
      <selection pane="bottomRight" activeCell="G2" sqref="G2"/>
    </sheetView>
  </sheetViews>
  <sheetFormatPr defaultColWidth="9" defaultRowHeight="15" x14ac:dyDescent="0.25"/>
  <cols>
    <col min="1" max="1" width="6.5" style="171" customWidth="1"/>
    <col min="2" max="2" width="10.875" style="170" customWidth="1"/>
    <col min="3" max="3" width="19.875" style="170" customWidth="1"/>
    <col min="4" max="4" width="28" style="170" customWidth="1"/>
    <col min="5" max="5" width="10.625" style="171" customWidth="1"/>
    <col min="6" max="6" width="6.25" style="171" customWidth="1"/>
    <col min="7" max="7" width="10.375" style="171" customWidth="1"/>
    <col min="8" max="8" width="1.375" style="170" customWidth="1"/>
    <col min="9" max="9" width="7.375" style="171" customWidth="1"/>
    <col min="10" max="10" width="9.375" style="171" customWidth="1"/>
    <col min="11" max="11" width="9" style="170" customWidth="1"/>
    <col min="12" max="12" width="15" style="170" customWidth="1"/>
    <col min="13" max="13" width="7.375" style="170" customWidth="1"/>
    <col min="14" max="14" width="16" style="170" customWidth="1"/>
    <col min="15" max="15" width="8" style="170" customWidth="1"/>
    <col min="16" max="16384" width="9" style="170"/>
  </cols>
  <sheetData>
    <row r="1" spans="1:14" x14ac:dyDescent="0.25">
      <c r="A1" s="85" t="str">
        <f>'תוכן עניינים'!$B$7</f>
        <v xml:space="preserve">תקן ריהוט וציוד לדיור קהילתי </v>
      </c>
      <c r="B1" s="204"/>
      <c r="E1" s="284" t="s">
        <v>197</v>
      </c>
      <c r="F1" s="285">
        <f>'שאלון למילוי הגוף-חובה'!$D$36</f>
        <v>0</v>
      </c>
    </row>
    <row r="2" spans="1:14" x14ac:dyDescent="0.25">
      <c r="A2" s="173">
        <f>'תוכן עניינים'!B14</f>
        <v>1</v>
      </c>
      <c r="B2" s="173" t="str">
        <f>'תוכן עניינים'!C14</f>
        <v>חדרי שינה: ציוד וריהוט</v>
      </c>
      <c r="C2" s="173"/>
      <c r="E2" s="284" t="s">
        <v>198</v>
      </c>
      <c r="F2" s="285">
        <f>'שאלון למילוי הגוף-חובה'!$D$37</f>
        <v>0</v>
      </c>
    </row>
    <row r="3" spans="1:14" x14ac:dyDescent="0.25">
      <c r="A3" s="174"/>
      <c r="B3" s="175"/>
      <c r="C3" s="175" t="s">
        <v>199</v>
      </c>
      <c r="D3" s="175"/>
      <c r="E3" s="208"/>
      <c r="F3" s="208"/>
      <c r="G3" s="209"/>
      <c r="I3" s="174" t="s">
        <v>200</v>
      </c>
      <c r="J3" s="175"/>
      <c r="K3" s="175"/>
      <c r="L3" s="175"/>
      <c r="M3" s="175"/>
      <c r="N3" s="176"/>
    </row>
    <row r="4" spans="1:14" ht="30" x14ac:dyDescent="0.25">
      <c r="A4" s="147" t="s">
        <v>201</v>
      </c>
      <c r="B4" s="177" t="s">
        <v>202</v>
      </c>
      <c r="C4" s="149" t="s">
        <v>203</v>
      </c>
      <c r="D4" s="149" t="s">
        <v>204</v>
      </c>
      <c r="E4" s="147" t="s">
        <v>205</v>
      </c>
      <c r="F4" s="147" t="s">
        <v>206</v>
      </c>
      <c r="G4" s="147" t="s">
        <v>207</v>
      </c>
      <c r="I4" s="178" t="s">
        <v>208</v>
      </c>
      <c r="J4" s="178" t="s">
        <v>209</v>
      </c>
      <c r="K4" s="179" t="s">
        <v>210</v>
      </c>
      <c r="L4" s="149" t="s">
        <v>211</v>
      </c>
      <c r="M4" s="149" t="s">
        <v>212</v>
      </c>
      <c r="N4" s="149" t="s">
        <v>213</v>
      </c>
    </row>
    <row r="5" spans="1:14" x14ac:dyDescent="0.25">
      <c r="A5" s="147">
        <v>1.1000000000000001</v>
      </c>
      <c r="B5" s="180" t="s">
        <v>214</v>
      </c>
      <c r="C5" s="181" t="s">
        <v>215</v>
      </c>
      <c r="D5" s="149" t="s">
        <v>216</v>
      </c>
      <c r="E5" s="182">
        <v>3000</v>
      </c>
      <c r="F5" s="210">
        <f>$F$2</f>
        <v>0</v>
      </c>
      <c r="G5" s="182">
        <f>E5*F5</f>
        <v>0</v>
      </c>
      <c r="I5" s="49">
        <f t="shared" ref="I5:I17" si="0">F5</f>
        <v>0</v>
      </c>
      <c r="J5" s="182">
        <f t="shared" ref="J5:J17" si="1">IF(G5=0,0,I5*E5)</f>
        <v>0</v>
      </c>
      <c r="K5" s="184" t="str">
        <f>IF(F5=0,"",IF(J5=0,"",IF(OR(J5-$G5&gt;0,J5-$G5&lt;0), (J5-$G5)/$G5, "")))</f>
        <v/>
      </c>
      <c r="L5" s="64" t="str">
        <f>IF(I5&gt;F5,"יש להסביר חריגה","")</f>
        <v/>
      </c>
      <c r="M5" s="46"/>
      <c r="N5" s="46"/>
    </row>
    <row r="6" spans="1:14" x14ac:dyDescent="0.25">
      <c r="A6" s="147">
        <v>1.2</v>
      </c>
      <c r="B6" s="211"/>
      <c r="C6" s="181" t="s">
        <v>217</v>
      </c>
      <c r="D6" s="149"/>
      <c r="E6" s="182">
        <v>3500</v>
      </c>
      <c r="F6" s="212">
        <f>$F$1</f>
        <v>0</v>
      </c>
      <c r="G6" s="182">
        <f t="shared" ref="G6:G17" si="2">E6*F6</f>
        <v>0</v>
      </c>
      <c r="I6" s="49">
        <f t="shared" si="0"/>
        <v>0</v>
      </c>
      <c r="J6" s="182">
        <f t="shared" si="1"/>
        <v>0</v>
      </c>
      <c r="K6" s="184" t="str">
        <f t="shared" ref="K6:K17" si="3">IF(F6=0,"",IF(J6=0,"",IF(OR(J6-$G6&gt;0,J6-$G6&lt;0), (J6-$G6)/$G6, "")))</f>
        <v/>
      </c>
      <c r="L6" s="64" t="str">
        <f>IF(I6&gt;F6,"יש להסביר חריגה","")</f>
        <v/>
      </c>
      <c r="M6" s="46"/>
      <c r="N6" s="46"/>
    </row>
    <row r="7" spans="1:14" x14ac:dyDescent="0.25">
      <c r="A7" s="147">
        <v>1.3</v>
      </c>
      <c r="B7" s="211"/>
      <c r="C7" s="181" t="s">
        <v>218</v>
      </c>
      <c r="D7" s="149" t="s">
        <v>219</v>
      </c>
      <c r="E7" s="182">
        <v>3500</v>
      </c>
      <c r="F7" s="210">
        <f t="shared" ref="F7:F8" si="4">$F$2</f>
        <v>0</v>
      </c>
      <c r="G7" s="182">
        <f t="shared" si="2"/>
        <v>0</v>
      </c>
      <c r="I7" s="49">
        <f t="shared" si="0"/>
        <v>0</v>
      </c>
      <c r="J7" s="182">
        <f t="shared" si="1"/>
        <v>0</v>
      </c>
      <c r="K7" s="184" t="str">
        <f t="shared" si="3"/>
        <v/>
      </c>
      <c r="L7" s="64" t="str">
        <f t="shared" ref="L7:L16" si="5">IF(I7&gt;F7,"יש להסביר חריגה","")</f>
        <v/>
      </c>
      <c r="M7" s="46"/>
      <c r="N7" s="46"/>
    </row>
    <row r="8" spans="1:14" x14ac:dyDescent="0.25">
      <c r="A8" s="147">
        <v>1.4</v>
      </c>
      <c r="B8" s="211"/>
      <c r="C8" s="181" t="s">
        <v>220</v>
      </c>
      <c r="D8" s="149"/>
      <c r="E8" s="182">
        <v>1000</v>
      </c>
      <c r="F8" s="210">
        <f t="shared" si="4"/>
        <v>0</v>
      </c>
      <c r="G8" s="182">
        <f t="shared" si="2"/>
        <v>0</v>
      </c>
      <c r="I8" s="49">
        <f t="shared" si="0"/>
        <v>0</v>
      </c>
      <c r="J8" s="182">
        <f t="shared" si="1"/>
        <v>0</v>
      </c>
      <c r="K8" s="184" t="str">
        <f t="shared" si="3"/>
        <v/>
      </c>
      <c r="L8" s="64" t="str">
        <f t="shared" si="5"/>
        <v/>
      </c>
      <c r="M8" s="46"/>
      <c r="N8" s="46"/>
    </row>
    <row r="9" spans="1:14" x14ac:dyDescent="0.25">
      <c r="A9" s="147">
        <v>1.5</v>
      </c>
      <c r="B9" s="190" t="s">
        <v>221</v>
      </c>
      <c r="C9" s="181" t="s">
        <v>222</v>
      </c>
      <c r="D9" s="149"/>
      <c r="E9" s="182">
        <v>3000</v>
      </c>
      <c r="F9" s="212">
        <f>$F$1</f>
        <v>0</v>
      </c>
      <c r="G9" s="182">
        <f t="shared" si="2"/>
        <v>0</v>
      </c>
      <c r="I9" s="49">
        <f t="shared" si="0"/>
        <v>0</v>
      </c>
      <c r="J9" s="182">
        <f t="shared" si="1"/>
        <v>0</v>
      </c>
      <c r="K9" s="184" t="str">
        <f t="shared" si="3"/>
        <v/>
      </c>
      <c r="L9" s="64" t="str">
        <f t="shared" si="5"/>
        <v/>
      </c>
      <c r="M9" s="46"/>
      <c r="N9" s="46"/>
    </row>
    <row r="10" spans="1:14" x14ac:dyDescent="0.25">
      <c r="A10" s="147">
        <v>1.6</v>
      </c>
      <c r="B10" s="177"/>
      <c r="C10" s="181" t="s">
        <v>223</v>
      </c>
      <c r="D10" s="149"/>
      <c r="E10" s="182">
        <v>300</v>
      </c>
      <c r="F10" s="210">
        <f>$F$2</f>
        <v>0</v>
      </c>
      <c r="G10" s="182">
        <f t="shared" si="2"/>
        <v>0</v>
      </c>
      <c r="I10" s="49">
        <f t="shared" si="0"/>
        <v>0</v>
      </c>
      <c r="J10" s="182">
        <f t="shared" si="1"/>
        <v>0</v>
      </c>
      <c r="K10" s="184" t="str">
        <f t="shared" si="3"/>
        <v/>
      </c>
      <c r="L10" s="64" t="str">
        <f t="shared" si="5"/>
        <v/>
      </c>
      <c r="M10" s="46"/>
      <c r="N10" s="46"/>
    </row>
    <row r="11" spans="1:14" ht="30" x14ac:dyDescent="0.25">
      <c r="A11" s="147">
        <v>1.7</v>
      </c>
      <c r="B11" s="211" t="s">
        <v>224</v>
      </c>
      <c r="C11" s="181" t="s">
        <v>225</v>
      </c>
      <c r="D11" s="149" t="s">
        <v>69</v>
      </c>
      <c r="E11" s="182">
        <v>5000</v>
      </c>
      <c r="F11" s="212">
        <f t="shared" ref="F11:F15" si="6">$F$1</f>
        <v>0</v>
      </c>
      <c r="G11" s="182">
        <f t="shared" si="2"/>
        <v>0</v>
      </c>
      <c r="I11" s="49">
        <f t="shared" si="0"/>
        <v>0</v>
      </c>
      <c r="J11" s="182">
        <f t="shared" si="1"/>
        <v>0</v>
      </c>
      <c r="K11" s="184" t="str">
        <f t="shared" si="3"/>
        <v/>
      </c>
      <c r="L11" s="64" t="str">
        <f t="shared" si="5"/>
        <v/>
      </c>
      <c r="M11" s="46"/>
      <c r="N11" s="46"/>
    </row>
    <row r="12" spans="1:14" ht="29.25" x14ac:dyDescent="0.25">
      <c r="A12" s="147">
        <v>1.8</v>
      </c>
      <c r="B12" s="211"/>
      <c r="C12" s="181" t="s">
        <v>226</v>
      </c>
      <c r="D12" s="149" t="s">
        <v>227</v>
      </c>
      <c r="E12" s="182">
        <v>3000</v>
      </c>
      <c r="F12" s="212">
        <f t="shared" si="6"/>
        <v>0</v>
      </c>
      <c r="G12" s="182">
        <f t="shared" si="2"/>
        <v>0</v>
      </c>
      <c r="I12" s="49">
        <f t="shared" si="0"/>
        <v>0</v>
      </c>
      <c r="J12" s="182">
        <f t="shared" si="1"/>
        <v>0</v>
      </c>
      <c r="K12" s="184" t="str">
        <f>IF(F12=0,"",IF(J12=0,"",IF(OR(J12-$G12&gt;0,J12-$G12&lt;0), (J12-$G12)/$G12, "")))</f>
        <v/>
      </c>
      <c r="L12" s="64" t="str">
        <f t="shared" si="5"/>
        <v/>
      </c>
      <c r="M12" s="46"/>
      <c r="N12" s="46"/>
    </row>
    <row r="13" spans="1:14" x14ac:dyDescent="0.25">
      <c r="A13" s="147">
        <v>1.9</v>
      </c>
      <c r="B13" s="211"/>
      <c r="C13" s="181" t="s">
        <v>60</v>
      </c>
      <c r="D13" s="149" t="s">
        <v>228</v>
      </c>
      <c r="E13" s="182">
        <v>500</v>
      </c>
      <c r="F13" s="212">
        <f t="shared" si="6"/>
        <v>0</v>
      </c>
      <c r="G13" s="182">
        <f t="shared" si="2"/>
        <v>0</v>
      </c>
      <c r="I13" s="49">
        <f t="shared" si="0"/>
        <v>0</v>
      </c>
      <c r="J13" s="182">
        <f t="shared" si="1"/>
        <v>0</v>
      </c>
      <c r="K13" s="184" t="str">
        <f t="shared" si="3"/>
        <v/>
      </c>
      <c r="L13" s="64" t="str">
        <f t="shared" si="5"/>
        <v/>
      </c>
      <c r="M13" s="46"/>
      <c r="N13" s="46"/>
    </row>
    <row r="14" spans="1:14" x14ac:dyDescent="0.25">
      <c r="A14" s="189">
        <v>1.1000000000000001</v>
      </c>
      <c r="B14" s="211"/>
      <c r="C14" s="181" t="s">
        <v>63</v>
      </c>
      <c r="D14" s="149" t="s">
        <v>228</v>
      </c>
      <c r="E14" s="182">
        <v>200</v>
      </c>
      <c r="F14" s="212">
        <f t="shared" si="6"/>
        <v>0</v>
      </c>
      <c r="G14" s="182">
        <f t="shared" si="2"/>
        <v>0</v>
      </c>
      <c r="I14" s="49">
        <f t="shared" si="0"/>
        <v>0</v>
      </c>
      <c r="J14" s="182">
        <f t="shared" si="1"/>
        <v>0</v>
      </c>
      <c r="K14" s="184" t="str">
        <f t="shared" si="3"/>
        <v/>
      </c>
      <c r="L14" s="64" t="str">
        <f t="shared" si="5"/>
        <v/>
      </c>
      <c r="M14" s="46"/>
      <c r="N14" s="46"/>
    </row>
    <row r="15" spans="1:14" ht="30" x14ac:dyDescent="0.25">
      <c r="A15" s="189">
        <v>1.1100000000000001</v>
      </c>
      <c r="B15" s="180" t="s">
        <v>229</v>
      </c>
      <c r="C15" s="181" t="s">
        <v>230</v>
      </c>
      <c r="D15" s="149"/>
      <c r="E15" s="182">
        <v>1500</v>
      </c>
      <c r="F15" s="212">
        <f t="shared" si="6"/>
        <v>0</v>
      </c>
      <c r="G15" s="182">
        <f t="shared" si="2"/>
        <v>0</v>
      </c>
      <c r="I15" s="49">
        <f t="shared" si="0"/>
        <v>0</v>
      </c>
      <c r="J15" s="182">
        <f t="shared" si="1"/>
        <v>0</v>
      </c>
      <c r="K15" s="184" t="str">
        <f t="shared" si="3"/>
        <v/>
      </c>
      <c r="L15" s="64" t="str">
        <f t="shared" si="5"/>
        <v/>
      </c>
      <c r="M15" s="46"/>
      <c r="N15" s="46"/>
    </row>
    <row r="16" spans="1:14" ht="30" x14ac:dyDescent="0.25">
      <c r="A16" s="189">
        <v>1.1200000000000001</v>
      </c>
      <c r="B16" s="211"/>
      <c r="C16" s="181" t="s">
        <v>231</v>
      </c>
      <c r="D16" s="213" t="s">
        <v>232</v>
      </c>
      <c r="E16" s="182">
        <v>3000</v>
      </c>
      <c r="F16" s="210">
        <f>$F$2</f>
        <v>0</v>
      </c>
      <c r="G16" s="182">
        <f t="shared" ref="G16" si="7">E16*F16</f>
        <v>0</v>
      </c>
      <c r="I16" s="49">
        <f t="shared" si="0"/>
        <v>0</v>
      </c>
      <c r="J16" s="182">
        <f t="shared" si="1"/>
        <v>0</v>
      </c>
      <c r="K16" s="184" t="str">
        <f t="shared" si="3"/>
        <v/>
      </c>
      <c r="L16" s="64" t="str">
        <f t="shared" si="5"/>
        <v/>
      </c>
      <c r="M16" s="46"/>
      <c r="N16" s="46"/>
    </row>
    <row r="17" spans="1:15" x14ac:dyDescent="0.25">
      <c r="A17" s="189">
        <v>1.1299999999999999</v>
      </c>
      <c r="B17" s="211"/>
      <c r="C17" s="181" t="s">
        <v>233</v>
      </c>
      <c r="D17" s="213"/>
      <c r="E17" s="182">
        <v>3000</v>
      </c>
      <c r="F17" s="212">
        <f>$F$1</f>
        <v>0</v>
      </c>
      <c r="G17" s="182">
        <f t="shared" si="2"/>
        <v>0</v>
      </c>
      <c r="I17" s="49">
        <f t="shared" si="0"/>
        <v>0</v>
      </c>
      <c r="J17" s="182">
        <f t="shared" si="1"/>
        <v>0</v>
      </c>
      <c r="K17" s="184" t="str">
        <f t="shared" si="3"/>
        <v/>
      </c>
      <c r="L17" s="64" t="str">
        <f>IF(I17&gt;F17,"יש להסביר חריגה","")</f>
        <v/>
      </c>
      <c r="M17" s="46"/>
      <c r="N17" s="46"/>
    </row>
    <row r="18" spans="1:15" s="193" customFormat="1" x14ac:dyDescent="0.25">
      <c r="A18" s="214" t="s">
        <v>234</v>
      </c>
      <c r="B18" s="215"/>
      <c r="C18" s="194"/>
      <c r="D18" s="216"/>
      <c r="E18" s="217"/>
      <c r="F18" s="218"/>
      <c r="G18" s="219">
        <f>SUM(G5:G17)</f>
        <v>0</v>
      </c>
      <c r="I18" s="220"/>
      <c r="J18" s="219">
        <f>SUM(J5:J17)</f>
        <v>0</v>
      </c>
      <c r="K18" s="205" t="str">
        <f t="shared" ref="K18" si="8">IF(J18=0,"",IF(OR(J18-$G18&gt;0,J18-$G18&lt;0), (J18-$G18)/$G18, ""))</f>
        <v/>
      </c>
      <c r="L18" s="221"/>
      <c r="M18" s="221"/>
      <c r="N18" s="221"/>
      <c r="O18" s="170"/>
    </row>
  </sheetData>
  <sheetProtection algorithmName="SHA-512" hashValue="ywvKYktSVKZNykYHZ+LD70q79ZCxDKCCpYVQa/2ptnBP/7R27eU+HMsgOa+Je8tmNnKl+R5A0jyC/FjsAWmEgA==" saltValue="8WekIPegnWH4jQ3e1xLqHA==" spinCount="100000" sheet="1" formatCells="0" formatColumns="0" formatRows="0"/>
  <dataConsolidate/>
  <conditionalFormatting sqref="K5:K17">
    <cfRule type="cellIs" dxfId="25" priority="4" operator="greaterThan">
      <formula>0</formula>
    </cfRule>
  </conditionalFormatting>
  <conditionalFormatting sqref="K18">
    <cfRule type="cellIs" dxfId="24" priority="1" operator="greaterThan">
      <formula>0</formula>
    </cfRule>
  </conditionalFormatting>
  <dataValidations count="1">
    <dataValidation type="list" allowBlank="1" showInputMessage="1" showErrorMessage="1" sqref="M5:M17">
      <formula1>"מאושר, לא מאושר"</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rightToLeft="1" zoomScaleNormal="100" workbookViewId="0">
      <pane xSplit="3" ySplit="4" topLeftCell="D5" activePane="bottomRight" state="frozen"/>
      <selection pane="topRight"/>
      <selection pane="bottomLeft"/>
      <selection pane="bottomRight" activeCell="G2" sqref="G2"/>
    </sheetView>
  </sheetViews>
  <sheetFormatPr defaultColWidth="9" defaultRowHeight="15" x14ac:dyDescent="0.25"/>
  <cols>
    <col min="1" max="1" width="6.5" style="170" customWidth="1"/>
    <col min="2" max="2" width="10.75" style="170" customWidth="1"/>
    <col min="3" max="3" width="20.25" style="170" customWidth="1"/>
    <col min="4" max="4" width="21.25" style="170" customWidth="1"/>
    <col min="5" max="5" width="7.125" style="170" customWidth="1"/>
    <col min="6" max="6" width="5.75" style="170" customWidth="1"/>
    <col min="7" max="7" width="9.625" style="170" customWidth="1"/>
    <col min="8" max="8" width="2.25" style="170" customWidth="1"/>
    <col min="9" max="9" width="6.5" style="170" customWidth="1"/>
    <col min="10" max="10" width="8.375" style="170" customWidth="1"/>
    <col min="11" max="11" width="9" style="170" bestFit="1" customWidth="1"/>
    <col min="12" max="12" width="14.125" style="170" customWidth="1"/>
    <col min="13" max="13" width="7.5" style="170" customWidth="1"/>
    <col min="14" max="14" width="14.125" style="170" customWidth="1"/>
    <col min="15" max="15" width="4.75" style="170" customWidth="1"/>
    <col min="16" max="16384" width="9" style="170"/>
  </cols>
  <sheetData>
    <row r="1" spans="1:14" ht="14.25" customHeight="1" x14ac:dyDescent="0.25">
      <c r="A1" s="85" t="str">
        <f>'תוכן עניינים'!$B$7</f>
        <v xml:space="preserve">תקן ריהוט וציוד לדיור קהילתי </v>
      </c>
      <c r="B1" s="204"/>
      <c r="C1" s="204"/>
      <c r="E1" s="284" t="str">
        <f>'שאלון למילוי הגוף-חובה'!C30</f>
        <v>מס' דירות עד 8 דיירים</v>
      </c>
      <c r="F1" s="286">
        <f>'שאלון למילוי הגוף-חובה'!D30</f>
        <v>0</v>
      </c>
      <c r="G1" s="330" t="s">
        <v>235</v>
      </c>
    </row>
    <row r="2" spans="1:14" x14ac:dyDescent="0.25">
      <c r="A2" s="204">
        <f>'תוכן עניינים'!B15</f>
        <v>2</v>
      </c>
      <c r="B2" s="204" t="str">
        <f>'תוכן עניינים'!C15</f>
        <v>דירה קהלתית: ציוד חללים משותפים (עד 8 דיירים)</v>
      </c>
      <c r="E2" s="284" t="str">
        <f>'שאלון למילוי הגוף-חובה'!C31</f>
        <v>מס' דיירים בדירות עד 8 דיירים</v>
      </c>
      <c r="F2" s="286">
        <f>'שאלון למילוי הגוף-חובה'!D31</f>
        <v>0</v>
      </c>
      <c r="G2" s="330" t="str">
        <f>IF(F1=0,"הגיליון אינו רלוונטי לבקשה",IF(F2/F1&lt;=4,"עד 4",IF(F2/F1&lt;=6,"עד 6",IF(F2/F1&lt;=8,"עד 8","הגיליון אינו רלוונטי לבקשה"))))</f>
        <v>הגיליון אינו רלוונטי לבקשה</v>
      </c>
      <c r="H2" s="204"/>
    </row>
    <row r="3" spans="1:14" x14ac:dyDescent="0.25">
      <c r="A3" s="174"/>
      <c r="B3" s="175"/>
      <c r="C3" s="175" t="s">
        <v>199</v>
      </c>
      <c r="D3" s="175"/>
      <c r="E3" s="208"/>
      <c r="F3" s="208"/>
      <c r="G3" s="176"/>
      <c r="I3" s="174" t="s">
        <v>200</v>
      </c>
      <c r="J3" s="175"/>
      <c r="K3" s="175"/>
      <c r="L3" s="175"/>
      <c r="M3" s="175"/>
      <c r="N3" s="176"/>
    </row>
    <row r="4" spans="1:14" ht="45" x14ac:dyDescent="0.25">
      <c r="A4" s="222" t="s">
        <v>201</v>
      </c>
      <c r="B4" s="177" t="s">
        <v>202</v>
      </c>
      <c r="C4" s="149" t="s">
        <v>203</v>
      </c>
      <c r="D4" s="149" t="s">
        <v>204</v>
      </c>
      <c r="E4" s="149" t="s">
        <v>236</v>
      </c>
      <c r="F4" s="213" t="s">
        <v>237</v>
      </c>
      <c r="G4" s="149" t="s">
        <v>238</v>
      </c>
      <c r="I4" s="178" t="s">
        <v>208</v>
      </c>
      <c r="J4" s="178" t="s">
        <v>209</v>
      </c>
      <c r="K4" s="179" t="s">
        <v>210</v>
      </c>
      <c r="L4" s="149" t="s">
        <v>211</v>
      </c>
      <c r="M4" s="149" t="s">
        <v>212</v>
      </c>
      <c r="N4" s="149" t="s">
        <v>213</v>
      </c>
    </row>
    <row r="5" spans="1:14" x14ac:dyDescent="0.25">
      <c r="A5" s="222">
        <v>2.1</v>
      </c>
      <c r="B5" s="231"/>
      <c r="C5" s="194" t="s">
        <v>239</v>
      </c>
      <c r="D5" s="194"/>
      <c r="E5" s="232"/>
      <c r="F5" s="232"/>
      <c r="G5" s="288"/>
      <c r="H5" s="204"/>
      <c r="I5" s="231"/>
      <c r="J5" s="194" t="str">
        <f>C5</f>
        <v>מטבח</v>
      </c>
      <c r="K5" s="314"/>
      <c r="L5" s="194"/>
      <c r="M5" s="194"/>
      <c r="N5" s="234"/>
    </row>
    <row r="6" spans="1:14" x14ac:dyDescent="0.25">
      <c r="A6" s="222" t="s">
        <v>240</v>
      </c>
      <c r="B6" s="190" t="s">
        <v>214</v>
      </c>
      <c r="C6" s="188" t="s">
        <v>38</v>
      </c>
      <c r="D6" s="227">
        <f>IF($G$2=נוסחאות!$B$2,נוסחאות!B14,IF($G$2=נוסחאות!$F$2,נוסחאות!F14,IF($G$2=נוסחאות!$J$2,נוסחאות!J14,0)))</f>
        <v>0</v>
      </c>
      <c r="E6" s="228">
        <f>IF($G$2=נוסחאות!$B$2,נוסחאות!C14,IF($G$2=נוסחאות!$F$2,נוסחאות!G14,IF($G$2=נוסחאות!$J$2,נוסחאות!K14,0)))</f>
        <v>0</v>
      </c>
      <c r="F6" s="228">
        <f>IF($G$2=נוסחאות!$B$2,נוסחאות!D14*$F$1,IF($G$2=נוסחאות!$F$2,נוסחאות!H14*$F$1,IF($G$2=נוסחאות!$J$2,נוסחאות!L14*$F$1,0)))</f>
        <v>0</v>
      </c>
      <c r="G6" s="229">
        <f t="shared" ref="G6:G19" si="0">F6*E6</f>
        <v>0</v>
      </c>
      <c r="I6" s="49">
        <f t="shared" ref="I6:I9" si="1">F6</f>
        <v>0</v>
      </c>
      <c r="J6" s="182">
        <f t="shared" ref="J6" si="2">IF(G6=0,0,I6*E6)</f>
        <v>0</v>
      </c>
      <c r="K6" s="184" t="str">
        <f>IF(F6=0,"",IF(J6=0,"",IF(OR(J6-$G6&gt;0,J6-$G6&lt;0), (J6-$G6)/$G6, "")))</f>
        <v/>
      </c>
      <c r="L6" s="64" t="str">
        <f>IF(I6&gt;F6,"יש להסביר חריגה","")</f>
        <v/>
      </c>
      <c r="M6" s="46"/>
      <c r="N6" s="46"/>
    </row>
    <row r="7" spans="1:14" x14ac:dyDescent="0.25">
      <c r="A7" s="222" t="s">
        <v>241</v>
      </c>
      <c r="B7" s="190" t="s">
        <v>242</v>
      </c>
      <c r="C7" s="188" t="s">
        <v>243</v>
      </c>
      <c r="D7" s="227">
        <f>IF($G$2=נוסחאות!$B$2,נוסחאות!B7,IF($G$2=נוסחאות!$F$2,נוסחאות!F7,IF($G$2=נוסחאות!$J$2,נוסחאות!J7,0)))</f>
        <v>0</v>
      </c>
      <c r="E7" s="228">
        <f>IF($G$2=נוסחאות!$B$2,נוסחאות!C7,IF($G$2=נוסחאות!$F$2,נוסחאות!G7,IF($G$2=נוסחאות!$J$2,נוסחאות!K7,0)))</f>
        <v>0</v>
      </c>
      <c r="F7" s="228">
        <f>IF($G$2=נוסחאות!$B$2,נוסחאות!D7*$F$1,IF($G$2=נוסחאות!$F$2,נוסחאות!H7*$F$1,IF($G$2=נוסחאות!$J$2,נוסחאות!L7*$F$1,0)))</f>
        <v>0</v>
      </c>
      <c r="G7" s="229">
        <f t="shared" si="0"/>
        <v>0</v>
      </c>
      <c r="I7" s="49">
        <f t="shared" si="1"/>
        <v>0</v>
      </c>
      <c r="J7" s="182">
        <f t="shared" ref="J7:J19" si="3">IF(G7=0,0,I7*E7)</f>
        <v>0</v>
      </c>
      <c r="K7" s="184" t="str">
        <f t="shared" ref="K7:K56" si="4">IF(J7=0,"",IF(OR(J7-$G7&gt;0,J7-$G7&lt;0), (J7-$G7)/$G7, ""))</f>
        <v/>
      </c>
      <c r="L7" s="64" t="str">
        <f t="shared" ref="L7:L15" si="5">IF(I7&gt;F7,"יש להסביר חריגה","")</f>
        <v/>
      </c>
      <c r="M7" s="46"/>
      <c r="N7" s="46"/>
    </row>
    <row r="8" spans="1:14" x14ac:dyDescent="0.25">
      <c r="A8" s="222" t="s">
        <v>244</v>
      </c>
      <c r="B8" s="191"/>
      <c r="C8" s="188" t="s">
        <v>25</v>
      </c>
      <c r="D8" s="227">
        <f>IF($G$2=נוסחאות!$B$2,נוסחאות!B6,IF($G$2=נוסחאות!$F$2,נוסחאות!F6,IF($G$2=נוסחאות!$J$2,נוסחאות!J6,0)))</f>
        <v>0</v>
      </c>
      <c r="E8" s="228">
        <f>IF($G$2=נוסחאות!$B$2,נוסחאות!C6,IF($G$2=נוסחאות!$F$2,נוסחאות!G6,IF($G$2=נוסחאות!$J$2,נוסחאות!K6,0)))</f>
        <v>0</v>
      </c>
      <c r="F8" s="228">
        <f>IF($G$2=נוסחאות!$B$2,נוסחאות!D6*$F$1,IF($G$2=נוסחאות!$F$2,נוסחאות!H6*$F$1,IF($G$2=נוסחאות!$J$2,נוסחאות!L6*$F$1,0)))</f>
        <v>0</v>
      </c>
      <c r="G8" s="229">
        <f t="shared" ref="G8:G9" si="6">F8*E8</f>
        <v>0</v>
      </c>
      <c r="I8" s="49">
        <f t="shared" si="1"/>
        <v>0</v>
      </c>
      <c r="J8" s="182">
        <f t="shared" si="3"/>
        <v>0</v>
      </c>
      <c r="K8" s="184" t="str">
        <f t="shared" ref="K8" si="7">IF(J8=0,"",IF(OR(J8-$G8&gt;0,J8-$G8&lt;0), (J8-$G8)/$G8, ""))</f>
        <v/>
      </c>
      <c r="L8" s="64" t="str">
        <f t="shared" si="5"/>
        <v/>
      </c>
      <c r="M8" s="46"/>
      <c r="N8" s="46"/>
    </row>
    <row r="9" spans="1:14" x14ac:dyDescent="0.25">
      <c r="A9" s="222" t="s">
        <v>245</v>
      </c>
      <c r="B9" s="191"/>
      <c r="C9" s="188" t="s">
        <v>246</v>
      </c>
      <c r="D9" s="227">
        <f>IF($G$2=נוסחאות!$B$2,נוסחאות!B15,IF($G$2=נוסחאות!$F$2,נוסחאות!F15,IF($G$2=נוסחאות!$J$2,נוסחאות!J15,0)))</f>
        <v>0</v>
      </c>
      <c r="E9" s="228">
        <f>IF($G$2=נוסחאות!$B$2,נוסחאות!C15,IF($G$2=נוסחאות!$F$2,נוסחאות!G15,IF($G$2=נוסחאות!$J$2,נוסחאות!K15,0)))</f>
        <v>0</v>
      </c>
      <c r="F9" s="228">
        <f>IF($G$2=נוסחאות!$B$2,נוסחאות!D15*$F$1,IF($G$2=נוסחאות!$F$2,נוסחאות!H15*$F$1,IF($G$2=נוסחאות!$J$2,נוסחאות!L15*$F$1,0)))</f>
        <v>0</v>
      </c>
      <c r="G9" s="229">
        <f t="shared" si="6"/>
        <v>0</v>
      </c>
      <c r="I9" s="49">
        <f t="shared" si="1"/>
        <v>0</v>
      </c>
      <c r="J9" s="182">
        <f t="shared" si="3"/>
        <v>0</v>
      </c>
      <c r="K9" s="184"/>
      <c r="L9" s="64" t="str">
        <f t="shared" si="5"/>
        <v/>
      </c>
      <c r="M9" s="46"/>
      <c r="N9" s="46"/>
    </row>
    <row r="10" spans="1:14" x14ac:dyDescent="0.25">
      <c r="A10" s="222" t="s">
        <v>247</v>
      </c>
      <c r="B10" s="191"/>
      <c r="C10" s="188" t="s">
        <v>248</v>
      </c>
      <c r="D10" s="227">
        <f>IF($G$2=נוסחאות!$B$2,נוסחאות!B10,IF($G$2=נוסחאות!$F$2,נוסחאות!F10,IF($G$2=נוסחאות!$J$2,נוסחאות!J10,0)))</f>
        <v>0</v>
      </c>
      <c r="E10" s="228">
        <f>IF($G$2=נוסחאות!$B$2,נוסחאות!C10,IF($G$2=נוסחאות!$F$2,נוסחאות!G10,IF($G$2=נוסחאות!$J$2,נוסחאות!K10,0)))</f>
        <v>0</v>
      </c>
      <c r="F10" s="228">
        <f>IF($G$2=נוסחאות!$B$2,נוסחאות!D10*$F$1,IF($G$2=נוסחאות!$F$2,נוסחאות!H10*$F$1,IF($G$2=נוסחאות!$J$2,נוסחאות!L10*$F$1,0)))</f>
        <v>0</v>
      </c>
      <c r="G10" s="229">
        <f t="shared" si="0"/>
        <v>0</v>
      </c>
      <c r="I10" s="49">
        <f t="shared" ref="I10:I19" si="8">F10</f>
        <v>0</v>
      </c>
      <c r="J10" s="182">
        <f t="shared" si="3"/>
        <v>0</v>
      </c>
      <c r="K10" s="184" t="str">
        <f t="shared" si="4"/>
        <v/>
      </c>
      <c r="L10" s="64" t="str">
        <f t="shared" si="5"/>
        <v/>
      </c>
      <c r="M10" s="46"/>
      <c r="N10" s="46"/>
    </row>
    <row r="11" spans="1:14" x14ac:dyDescent="0.25">
      <c r="A11" s="222" t="s">
        <v>249</v>
      </c>
      <c r="B11" s="191"/>
      <c r="C11" s="188" t="s">
        <v>35</v>
      </c>
      <c r="D11" s="227">
        <f>IF($G$2=נוסחאות!$B$2,נוסחאות!B11,IF($G$2=נוסחאות!$F$2,נוסחאות!F11,IF($G$2=נוסחאות!$J$2,נוסחאות!J11,0)))</f>
        <v>0</v>
      </c>
      <c r="E11" s="228">
        <f>IF($G$2=נוסחאות!$B$2,נוסחאות!C11,IF($G$2=נוסחאות!$F$2,נוסחאות!G11,IF($G$2=נוסחאות!$J$2,נוסחאות!K11,0)))</f>
        <v>0</v>
      </c>
      <c r="F11" s="228">
        <f>IF($G$2=נוסחאות!$B$2,נוסחאות!D11*$F$1,IF($G$2=נוסחאות!$F$2,נוסחאות!H11*$F$1,IF($G$2=נוסחאות!$J$2,נוסחאות!L11*$F$1,0)))</f>
        <v>0</v>
      </c>
      <c r="G11" s="229">
        <f t="shared" si="0"/>
        <v>0</v>
      </c>
      <c r="I11" s="49">
        <f t="shared" si="8"/>
        <v>0</v>
      </c>
      <c r="J11" s="182">
        <f t="shared" si="3"/>
        <v>0</v>
      </c>
      <c r="K11" s="184"/>
      <c r="L11" s="64" t="str">
        <f t="shared" si="5"/>
        <v/>
      </c>
      <c r="M11" s="46"/>
      <c r="N11" s="46"/>
    </row>
    <row r="12" spans="1:14" x14ac:dyDescent="0.25">
      <c r="A12" s="222" t="s">
        <v>250</v>
      </c>
      <c r="B12" s="191"/>
      <c r="C12" s="188" t="s">
        <v>37</v>
      </c>
      <c r="D12" s="227">
        <f>IF($G$2=נוסחאות!$B$2,נוסחאות!B13,IF($G$2=נוסחאות!$F$2,נוסחאות!F13,IF($G$2=נוסחאות!$J$2,נוסחאות!J13,0)))</f>
        <v>0</v>
      </c>
      <c r="E12" s="228">
        <f>IF($G$2=נוסחאות!$B$2,נוסחאות!C13,IF($G$2=נוסחאות!$F$2,נוסחאות!G13,IF($G$2=נוסחאות!$J$2,נוסחאות!K13,0)))</f>
        <v>0</v>
      </c>
      <c r="F12" s="228">
        <f>IF($G$2=נוסחאות!$B$2,נוסחאות!D13*$F$1,IF($G$2=נוסחאות!$F$2,נוסחאות!H13*$F$1,IF($G$2=נוסחאות!$J$2,נוסחאות!L13*$F$1,0)))</f>
        <v>0</v>
      </c>
      <c r="G12" s="229">
        <f t="shared" ref="G12" si="9">F12*E12</f>
        <v>0</v>
      </c>
      <c r="I12" s="49">
        <f t="shared" ref="I12" si="10">F12</f>
        <v>0</v>
      </c>
      <c r="J12" s="182">
        <f t="shared" si="3"/>
        <v>0</v>
      </c>
      <c r="K12" s="184"/>
      <c r="L12" s="64" t="str">
        <f t="shared" si="5"/>
        <v/>
      </c>
      <c r="M12" s="46"/>
      <c r="N12" s="46"/>
    </row>
    <row r="13" spans="1:14" x14ac:dyDescent="0.25">
      <c r="A13" s="222" t="s">
        <v>251</v>
      </c>
      <c r="B13" s="191"/>
      <c r="C13" s="188" t="s">
        <v>24</v>
      </c>
      <c r="D13" s="227">
        <f>IF($G$2=נוסחאות!$B$2,נוסחאות!B5,IF($G$2=נוסחאות!$F$2,נוסחאות!F5,IF($G$2=נוסחאות!$J$2,נוסחאות!J5,0)))</f>
        <v>0</v>
      </c>
      <c r="E13" s="228">
        <f>IF($G$2=נוסחאות!$B$2,נוסחאות!C5,IF($G$2=נוסחאות!$F$2,נוסחאות!G5,IF($G$2=נוסחאות!$J$2,נוסחאות!K5,0)))</f>
        <v>0</v>
      </c>
      <c r="F13" s="228">
        <f>IF($G$2=נוסחאות!$B$2,נוסחאות!D5*$F$1,IF($G$2=נוסחאות!$F$2,נוסחאות!H5*$F$1,IF($G$2=נוסחאות!$J$2,נוסחאות!L5*$F$1,0)))</f>
        <v>0</v>
      </c>
      <c r="G13" s="229">
        <f t="shared" ref="G13:G14" si="11">F13*E13</f>
        <v>0</v>
      </c>
      <c r="I13" s="49">
        <f t="shared" ref="I13" si="12">F13</f>
        <v>0</v>
      </c>
      <c r="J13" s="182">
        <f t="shared" si="3"/>
        <v>0</v>
      </c>
      <c r="K13" s="184" t="str">
        <f t="shared" ref="K13" si="13">IF(J13=0,"",IF(OR(J13-$G13&gt;0,J13-$G13&lt;0), (J13-$G13)/$G13, ""))</f>
        <v/>
      </c>
      <c r="L13" s="64" t="str">
        <f t="shared" si="5"/>
        <v/>
      </c>
      <c r="M13" s="46"/>
      <c r="N13" s="46"/>
    </row>
    <row r="14" spans="1:14" x14ac:dyDescent="0.25">
      <c r="A14" s="222" t="s">
        <v>252</v>
      </c>
      <c r="B14" s="191"/>
      <c r="C14" s="188" t="s">
        <v>46</v>
      </c>
      <c r="D14" s="227">
        <f>IF($G$2=נוסחאות!$B$2,נוסחאות!B16,IF($G$2=נוסחאות!$F$2,נוסחאות!F16,IF($G$2=נוסחאות!$J$2,נוסחאות!J16,0)))</f>
        <v>0</v>
      </c>
      <c r="E14" s="228">
        <f>IF($G$2=נוסחאות!$B$2,נוסחאות!C16,IF($G$2=נוסחאות!$F$2,נוסחאות!G16,IF($G$2=נוסחאות!$J$2,נוסחאות!K16,0)))</f>
        <v>0</v>
      </c>
      <c r="F14" s="228">
        <f>IF($G$2=נוסחאות!$B$2,נוסחאות!D16*$F$1,IF($G$2=נוסחאות!$F$2,נוסחאות!H16*$F$1,IF($G$2=נוסחאות!$J$2,נוסחאות!L16*$F$1,0)))</f>
        <v>0</v>
      </c>
      <c r="G14" s="229">
        <f t="shared" si="11"/>
        <v>0</v>
      </c>
      <c r="I14" s="49">
        <f t="shared" si="8"/>
        <v>0</v>
      </c>
      <c r="J14" s="182">
        <f t="shared" si="3"/>
        <v>0</v>
      </c>
      <c r="K14" s="184"/>
      <c r="L14" s="64" t="str">
        <f t="shared" si="5"/>
        <v/>
      </c>
      <c r="M14" s="46"/>
      <c r="N14" s="46"/>
    </row>
    <row r="15" spans="1:14" x14ac:dyDescent="0.25">
      <c r="A15" s="222" t="s">
        <v>253</v>
      </c>
      <c r="B15" s="191"/>
      <c r="C15" s="188" t="s">
        <v>47</v>
      </c>
      <c r="D15" s="227">
        <f>IF($G$2=נוסחאות!$B$2,נוסחאות!B17,IF($G$2=נוסחאות!$F$2,נוסחאות!F17,IF($G$2=נוסחאות!$J$2,נוסחאות!J17,0)))</f>
        <v>0</v>
      </c>
      <c r="E15" s="228">
        <f>IF($G$2=נוסחאות!$B$2,נוסחאות!C17,IF($G$2=נוסחאות!$F$2,נוסחאות!G17,IF($G$2=נוסחאות!$J$2,נוסחאות!K17,0)))</f>
        <v>0</v>
      </c>
      <c r="F15" s="228">
        <f>IF($G$2=נוסחאות!$B$2,נוסחאות!D17*$F$1,IF($G$2=נוסחאות!$F$2,נוסחאות!H17*$F$1,IF($G$2=נוסחאות!$J$2,נוסחאות!L17*$F$1,0)))</f>
        <v>0</v>
      </c>
      <c r="G15" s="229">
        <f t="shared" si="0"/>
        <v>0</v>
      </c>
      <c r="I15" s="49">
        <f t="shared" ref="I15" si="14">F15</f>
        <v>0</v>
      </c>
      <c r="J15" s="182">
        <f t="shared" si="3"/>
        <v>0</v>
      </c>
      <c r="K15" s="184"/>
      <c r="L15" s="64" t="str">
        <f t="shared" si="5"/>
        <v/>
      </c>
      <c r="M15" s="46"/>
      <c r="N15" s="46"/>
    </row>
    <row r="16" spans="1:14" x14ac:dyDescent="0.25">
      <c r="A16" s="222" t="s">
        <v>254</v>
      </c>
      <c r="B16" s="191"/>
      <c r="C16" s="188" t="s">
        <v>36</v>
      </c>
      <c r="D16" s="227">
        <f>IF($G$2=נוסחאות!$B$2,נוסחאות!B12,IF($G$2=נוסחאות!$F$2,נוסחאות!F12,IF($G$2=נוסחאות!$J$2,נוסחאות!J12,0)))</f>
        <v>0</v>
      </c>
      <c r="E16" s="228">
        <f>IF($G$2=נוסחאות!$B$2,נוסחאות!C12,IF($G$2=נוסחאות!$F$2,נוסחאות!G12,IF($G$2=נוסחאות!$J$2,נוסחאות!K12,0)))</f>
        <v>0</v>
      </c>
      <c r="F16" s="228">
        <f>IF($G$2=נוסחאות!$B$2,נוסחאות!D12*$F$1,IF($G$2=נוסחאות!$F$2,נוסחאות!H12*$F$1,IF($G$2=נוסחאות!$J$2,נוסחאות!L12*$F$1,0)))</f>
        <v>0</v>
      </c>
      <c r="G16" s="229">
        <f t="shared" ref="G16" si="15">F16*E16</f>
        <v>0</v>
      </c>
      <c r="I16" s="49">
        <f t="shared" ref="I16" si="16">F16</f>
        <v>0</v>
      </c>
      <c r="J16" s="182">
        <f t="shared" si="3"/>
        <v>0</v>
      </c>
      <c r="K16" s="184" t="str">
        <f t="shared" ref="K16" si="17">IF(J16=0,"",IF(OR(J16-$G16&gt;0,J16-$G16&lt;0), (J16-$G16)/$G16, ""))</f>
        <v/>
      </c>
      <c r="L16" s="64" t="str">
        <f>IF(I16&gt;F16,"יש להסביר חריגה","")</f>
        <v/>
      </c>
      <c r="M16" s="46"/>
      <c r="N16" s="46"/>
    </row>
    <row r="17" spans="1:14" x14ac:dyDescent="0.25">
      <c r="A17" s="222" t="s">
        <v>255</v>
      </c>
      <c r="B17" s="191"/>
      <c r="C17" s="188" t="s">
        <v>31</v>
      </c>
      <c r="D17" s="227">
        <f>IF($G$2=נוסחאות!$B$2,נוסחאות!B8,IF($G$2=נוסחאות!$F$2,נוסחאות!F8,IF($G$2=נוסחאות!$J$2,נוסחאות!J8,0)))</f>
        <v>0</v>
      </c>
      <c r="E17" s="228">
        <f>IF($G$2=נוסחאות!$B$2,נוסחאות!C8,IF($G$2=נוסחאות!$F$2,נוסחאות!G8,IF($G$2=נוסחאות!$J$2,נוסחאות!K8,0)))</f>
        <v>0</v>
      </c>
      <c r="F17" s="228">
        <f>IF($G$2=נוסחאות!$B$2,נוסחאות!D8*$F$1,IF($G$2=נוסחאות!$F$2,נוסחאות!H8*$F$1,IF($G$2=נוסחאות!$J$2,נוסחאות!L8*$F$1,0)))</f>
        <v>0</v>
      </c>
      <c r="G17" s="229">
        <f t="shared" ref="G17" si="18">F17*E17</f>
        <v>0</v>
      </c>
      <c r="I17" s="49">
        <f t="shared" ref="I17" si="19">F17</f>
        <v>0</v>
      </c>
      <c r="J17" s="182">
        <f t="shared" si="3"/>
        <v>0</v>
      </c>
      <c r="K17" s="184" t="str">
        <f t="shared" ref="K17" si="20">IF(J17=0,"",IF(OR(J17-$G17&gt;0,J17-$G17&lt;0), (J17-$G17)/$G17, ""))</f>
        <v/>
      </c>
      <c r="L17" s="64" t="str">
        <f t="shared" ref="L17:L19" si="21">IF(I17&gt;F17,"יש להסביר חריגה","")</f>
        <v/>
      </c>
      <c r="M17" s="46"/>
      <c r="N17" s="46"/>
    </row>
    <row r="18" spans="1:14" x14ac:dyDescent="0.25">
      <c r="A18" s="222" t="s">
        <v>256</v>
      </c>
      <c r="B18" s="191"/>
      <c r="C18" s="188" t="s">
        <v>32</v>
      </c>
      <c r="D18" s="227">
        <f>IF($G$2=נוסחאות!$B$2,נוסחאות!B9,IF($G$2=נוסחאות!$F$2,נוסחאות!F9,IF($G$2=נוסחאות!$J$2,נוסחאות!J9,0)))</f>
        <v>0</v>
      </c>
      <c r="E18" s="228">
        <f>IF($G$2=נוסחאות!$B$2,נוסחאות!C9,IF($G$2=נוסחאות!$F$2,נוסחאות!G9,IF($G$2=נוסחאות!$J$2,נוסחאות!K9,0)))</f>
        <v>0</v>
      </c>
      <c r="F18" s="228">
        <f>IF($G$2=נוסחאות!$B$2,נוסחאות!D9*$F$1,IF($G$2=נוסחאות!$F$2,נוסחאות!H9*$F$1,IF($G$2=נוסחאות!$J$2,נוסחאות!L9*$F$1,0)))</f>
        <v>0</v>
      </c>
      <c r="G18" s="229">
        <f t="shared" ref="G18" si="22">F18*E18</f>
        <v>0</v>
      </c>
      <c r="I18" s="49">
        <f t="shared" ref="I18" si="23">F18</f>
        <v>0</v>
      </c>
      <c r="J18" s="182">
        <f t="shared" si="3"/>
        <v>0</v>
      </c>
      <c r="K18" s="184" t="str">
        <f t="shared" ref="K18" si="24">IF(J18=0,"",IF(OR(J18-$G18&gt;0,J18-$G18&lt;0), (J18-$G18)/$G18, ""))</f>
        <v/>
      </c>
      <c r="L18" s="64" t="str">
        <f t="shared" si="21"/>
        <v/>
      </c>
      <c r="M18" s="46"/>
      <c r="N18" s="46"/>
    </row>
    <row r="19" spans="1:14" ht="30" x14ac:dyDescent="0.25">
      <c r="A19" s="222" t="s">
        <v>257</v>
      </c>
      <c r="B19" s="213" t="s">
        <v>229</v>
      </c>
      <c r="C19" s="188" t="s">
        <v>258</v>
      </c>
      <c r="D19" s="227">
        <f>IF($G$2=נוסחאות!$B$2,נוסחאות!B4,IF($G$2=נוסחאות!$F$2,נוסחאות!F4,IF($G$2=נוסחאות!$J$2,נוסחאות!J4,0)))</f>
        <v>0</v>
      </c>
      <c r="E19" s="228">
        <f>IF($G$2=נוסחאות!$B$2,נוסחאות!C4,IF($G$2=נוסחאות!$F$2,נוסחאות!G4,IF($G$2=נוסחאות!$J$2,נוסחאות!K4,0)))</f>
        <v>0</v>
      </c>
      <c r="F19" s="228">
        <f>IF($G$2=נוסחאות!$B$2,נוסחאות!D4*$F$1,IF($G$2=נוסחאות!$F$2,נוסחאות!H4*$F$1,IF($G$2=נוסחאות!$J$2,נוסחאות!L4*$F$1,0)))</f>
        <v>0</v>
      </c>
      <c r="G19" s="229">
        <f t="shared" si="0"/>
        <v>0</v>
      </c>
      <c r="I19" s="49">
        <f t="shared" si="8"/>
        <v>0</v>
      </c>
      <c r="J19" s="182">
        <f t="shared" si="3"/>
        <v>0</v>
      </c>
      <c r="K19" s="184" t="str">
        <f t="shared" si="4"/>
        <v/>
      </c>
      <c r="L19" s="64" t="str">
        <f t="shared" si="21"/>
        <v/>
      </c>
      <c r="M19" s="46"/>
      <c r="N19" s="46"/>
    </row>
    <row r="20" spans="1:14" s="204" customFormat="1" ht="14.25" x14ac:dyDescent="0.2">
      <c r="A20" s="230" t="s">
        <v>259</v>
      </c>
      <c r="B20" s="231" t="s">
        <v>260</v>
      </c>
      <c r="C20" s="194"/>
      <c r="D20" s="223"/>
      <c r="E20" s="232"/>
      <c r="F20" s="288"/>
      <c r="G20" s="233">
        <f>SUM(G6:G19)</f>
        <v>0</v>
      </c>
      <c r="I20" s="230"/>
      <c r="J20" s="233">
        <f>SUM(J6:J19)</f>
        <v>0</v>
      </c>
      <c r="K20" s="205" t="str">
        <f t="shared" si="4"/>
        <v/>
      </c>
      <c r="L20" s="231" t="str">
        <f>B20</f>
        <v>סה"כ מטבח כולל מע"מ</v>
      </c>
      <c r="M20" s="194"/>
      <c r="N20" s="234"/>
    </row>
    <row r="21" spans="1:14" s="204" customFormat="1" ht="14.25" x14ac:dyDescent="0.2">
      <c r="A21" s="230">
        <v>2.2000000000000002</v>
      </c>
      <c r="B21" s="226"/>
      <c r="C21" s="223" t="s">
        <v>261</v>
      </c>
      <c r="D21" s="223"/>
      <c r="E21" s="224"/>
      <c r="F21" s="287"/>
      <c r="G21" s="225"/>
      <c r="I21" s="226"/>
      <c r="J21" s="223" t="str">
        <f>C21</f>
        <v xml:space="preserve">סלון </v>
      </c>
      <c r="K21" s="235"/>
      <c r="L21" s="223"/>
      <c r="M21" s="223"/>
      <c r="N21" s="236"/>
    </row>
    <row r="22" spans="1:14" x14ac:dyDescent="0.25">
      <c r="A22" s="222" t="s">
        <v>262</v>
      </c>
      <c r="B22" s="190" t="s">
        <v>214</v>
      </c>
      <c r="C22" s="188" t="s">
        <v>71</v>
      </c>
      <c r="D22" s="227">
        <f>IF($G$2=נוסחאות!$B$2,נוסחאות!B31,IF($G$2=נוסחאות!$F$2,נוסחאות!F31,IF($G$2=נוסחאות!$J$2,נוסחאות!J31,0)))</f>
        <v>0</v>
      </c>
      <c r="E22" s="228">
        <f>IF($G$2=נוסחאות!$B$2,נוסחאות!C31,IF($G$2=נוסחאות!$F$2,נוסחאות!G31,IF($G$2=נוסחאות!$J$2,נוסחאות!K31,0)))</f>
        <v>0</v>
      </c>
      <c r="F22" s="228">
        <f>IF($G$2=נוסחאות!$B$2,נוסחאות!D31*$F$1,IF($G$2=נוסחאות!$F$2,נוסחאות!H31*$F$1,IF($G$2=נוסחאות!$J$2,נוסחאות!L31*$F$1,0)))</f>
        <v>0</v>
      </c>
      <c r="G22" s="229">
        <f t="shared" ref="G22:G26" si="25">F22*E22</f>
        <v>0</v>
      </c>
      <c r="I22" s="49">
        <f t="shared" ref="I22:I35" si="26">F22</f>
        <v>0</v>
      </c>
      <c r="J22" s="182">
        <f t="shared" ref="J22:J35" si="27">IF(G22=0,0,I22*E22)</f>
        <v>0</v>
      </c>
      <c r="K22" s="184" t="str">
        <f t="shared" si="4"/>
        <v/>
      </c>
      <c r="L22" s="64" t="str">
        <f t="shared" ref="L22:L35" si="28">IF(I22&gt;F22,"יש להסביר חריגה","")</f>
        <v/>
      </c>
      <c r="M22" s="46"/>
      <c r="N22" s="46"/>
    </row>
    <row r="23" spans="1:14" x14ac:dyDescent="0.25">
      <c r="A23" s="222" t="s">
        <v>263</v>
      </c>
      <c r="B23" s="191"/>
      <c r="C23" s="188" t="s">
        <v>264</v>
      </c>
      <c r="D23" s="227">
        <f>IF($G$2=נוסחאות!$B$2,נוסחאות!B32,IF($G$2=נוסחאות!$F$2,נוסחאות!F32,IF($G$2=נוסחאות!$J$2,נוסחאות!J32,0)))</f>
        <v>0</v>
      </c>
      <c r="E23" s="228">
        <f>IF($G$2=נוסחאות!$B$2,נוסחאות!C32,IF($G$2=נוסחאות!$F$2,נוסחאות!G32,IF($G$2=נוסחאות!$J$2,נוסחאות!K32,0)))</f>
        <v>0</v>
      </c>
      <c r="F23" s="228">
        <f>IF($G$2=נוסחאות!$B$2,נוסחאות!D32*$F$1,IF($G$2=נוסחאות!$F$2,נוסחאות!H32*$F$1,IF($G$2=נוסחאות!$J$2,נוסחאות!L32*$F$1,0)))</f>
        <v>0</v>
      </c>
      <c r="G23" s="229">
        <f t="shared" si="25"/>
        <v>0</v>
      </c>
      <c r="I23" s="49">
        <f t="shared" ref="I23:I33" si="29">F23</f>
        <v>0</v>
      </c>
      <c r="J23" s="182">
        <f t="shared" si="27"/>
        <v>0</v>
      </c>
      <c r="K23" s="184" t="str">
        <f t="shared" ref="K23:K33" si="30">IF(J23=0,"",IF(OR(J23-$G23&gt;0,J23-$G23&lt;0), (J23-$G23)/$G23, ""))</f>
        <v/>
      </c>
      <c r="L23" s="64" t="str">
        <f t="shared" si="28"/>
        <v/>
      </c>
      <c r="M23" s="46"/>
      <c r="N23" s="46"/>
    </row>
    <row r="24" spans="1:14" x14ac:dyDescent="0.25">
      <c r="A24" s="222" t="s">
        <v>265</v>
      </c>
      <c r="B24" s="191"/>
      <c r="C24" s="188" t="s">
        <v>76</v>
      </c>
      <c r="D24" s="227">
        <f>IF($G$2=נוסחאות!$B$2,נוסחאות!B33,IF($G$2=נוסחאות!$F$2,נוסחאות!F33,IF($G$2=נוסחאות!$J$2,נוסחאות!J33,0)))</f>
        <v>0</v>
      </c>
      <c r="E24" s="228">
        <f>IF($G$2=נוסחאות!$B$2,נוסחאות!C33,IF($G$2=נוסחאות!$F$2,נוסחאות!G33,IF($G$2=נוסחאות!$J$2,נוסחאות!K33,0)))</f>
        <v>0</v>
      </c>
      <c r="F24" s="228">
        <f>IF($G$2=נוסחאות!$B$2,נוסחאות!D33*$F$1,IF($G$2=נוסחאות!$F$2,נוסחאות!H33*$F$1,IF($G$2=נוסחאות!$J$2,נוסחאות!L33*$F$1,0)))</f>
        <v>0</v>
      </c>
      <c r="G24" s="229">
        <f t="shared" si="25"/>
        <v>0</v>
      </c>
      <c r="I24" s="49">
        <f t="shared" si="29"/>
        <v>0</v>
      </c>
      <c r="J24" s="182">
        <f t="shared" si="27"/>
        <v>0</v>
      </c>
      <c r="K24" s="184" t="str">
        <f t="shared" si="30"/>
        <v/>
      </c>
      <c r="L24" s="64" t="str">
        <f t="shared" si="28"/>
        <v/>
      </c>
      <c r="M24" s="46"/>
      <c r="N24" s="46"/>
    </row>
    <row r="25" spans="1:14" x14ac:dyDescent="0.25">
      <c r="A25" s="222" t="s">
        <v>266</v>
      </c>
      <c r="B25" s="190" t="s">
        <v>221</v>
      </c>
      <c r="C25" s="188" t="s">
        <v>267</v>
      </c>
      <c r="D25" s="227">
        <f>IF($G$2=נוסחאות!$B$2,נוסחאות!B28,IF($G$2=נוסחאות!$F$2,נוסחאות!F28,IF($G$2=נוסחאות!$J$2,נוסחאות!J28,0)))</f>
        <v>0</v>
      </c>
      <c r="E25" s="228">
        <f>IF($G$2=נוסחאות!$B$2,נוסחאות!C28,IF($G$2=נוסחאות!$F$2,נוסחאות!G28,IF($G$2=נוסחאות!$J$2,נוסחאות!K28,0)))</f>
        <v>0</v>
      </c>
      <c r="F25" s="228">
        <f>IF($G$2=נוסחאות!$B$2,נוסחאות!D28*$F$1,IF($G$2=נוסחאות!$F$2,נוסחאות!H28*$F$1,IF($G$2=נוסחאות!$J$2,נוסחאות!L28*$F$1,0)))</f>
        <v>0</v>
      </c>
      <c r="G25" s="229">
        <f t="shared" si="25"/>
        <v>0</v>
      </c>
      <c r="I25" s="49">
        <f t="shared" si="29"/>
        <v>0</v>
      </c>
      <c r="J25" s="182">
        <f t="shared" si="27"/>
        <v>0</v>
      </c>
      <c r="K25" s="184" t="str">
        <f t="shared" si="30"/>
        <v/>
      </c>
      <c r="L25" s="64" t="str">
        <f t="shared" si="28"/>
        <v/>
      </c>
      <c r="M25" s="46"/>
      <c r="N25" s="46"/>
    </row>
    <row r="26" spans="1:14" ht="30" x14ac:dyDescent="0.25">
      <c r="A26" s="222" t="s">
        <v>268</v>
      </c>
      <c r="B26" s="190" t="s">
        <v>224</v>
      </c>
      <c r="C26" s="188" t="s">
        <v>269</v>
      </c>
      <c r="D26" s="227">
        <f>IF($G$2=נוסחאות!$B$2,נוסחאות!B22,IF($G$2=נוסחאות!$F$2,נוסחאות!F22,IF($G$2=נוסחאות!$J$2,נוסחאות!J22,0)))</f>
        <v>0</v>
      </c>
      <c r="E26" s="228">
        <f>IF($G$2=נוסחאות!$B$2,נוסחאות!C22,IF($G$2=נוסחאות!$F$2,נוסחאות!G22,IF($G$2=נוסחאות!$J$2,נוסחאות!K22,0)))</f>
        <v>0</v>
      </c>
      <c r="F26" s="228">
        <f>IF($G$2=נוסחאות!$B$2,נוסחאות!D22*$F$1,IF($G$2=נוסחאות!$F$2,נוסחאות!H22*$F$1,IF($G$2=נוסחאות!$J$2,נוסחאות!L22*$F$1,0)))</f>
        <v>0</v>
      </c>
      <c r="G26" s="229">
        <f t="shared" si="25"/>
        <v>0</v>
      </c>
      <c r="I26" s="49">
        <f t="shared" si="29"/>
        <v>0</v>
      </c>
      <c r="J26" s="182">
        <f t="shared" si="27"/>
        <v>0</v>
      </c>
      <c r="K26" s="184" t="str">
        <f t="shared" si="30"/>
        <v/>
      </c>
      <c r="L26" s="64" t="str">
        <f t="shared" si="28"/>
        <v/>
      </c>
      <c r="M26" s="46"/>
      <c r="N26" s="46"/>
    </row>
    <row r="27" spans="1:14" x14ac:dyDescent="0.25">
      <c r="A27" s="222" t="s">
        <v>270</v>
      </c>
      <c r="B27" s="191"/>
      <c r="C27" s="188" t="s">
        <v>271</v>
      </c>
      <c r="D27" s="227">
        <f>IF($G$2=נוסחאות!$B$2,נוסחאות!B24,IF($G$2=נוסחאות!$F$2,נוסחאות!F24,IF($G$2=נוסחאות!$J$2,נוסחאות!J24,0)))</f>
        <v>0</v>
      </c>
      <c r="E27" s="228">
        <f>IF($G$2=נוסחאות!$B$2,נוסחאות!C24,IF($G$2=נוסחאות!$F$2,נוסחאות!G24,IF($G$2=נוסחאות!$J$2,נוסחאות!K24,0)))</f>
        <v>0</v>
      </c>
      <c r="F27" s="228">
        <f>IF($G$2=נוסחאות!$B$2,נוסחאות!D24*$F$1,IF($G$2=נוסחאות!$F$2,נוסחאות!H24*$F$1,IF($G$2=נוסחאות!$J$2,נוסחאות!L24*$F$1,0)))</f>
        <v>0</v>
      </c>
      <c r="G27" s="229">
        <f t="shared" ref="G27:G31" si="31">F27*E27</f>
        <v>0</v>
      </c>
      <c r="I27" s="49">
        <f t="shared" ref="I27" si="32">F27</f>
        <v>0</v>
      </c>
      <c r="J27" s="182">
        <f t="shared" si="27"/>
        <v>0</v>
      </c>
      <c r="K27" s="184" t="str">
        <f t="shared" ref="K27" si="33">IF(J27=0,"",IF(OR(J27-$G27&gt;0,J27-$G27&lt;0), (J27-$G27)/$G27, ""))</f>
        <v/>
      </c>
      <c r="L27" s="64" t="str">
        <f t="shared" si="28"/>
        <v/>
      </c>
      <c r="M27" s="46"/>
      <c r="N27" s="46"/>
    </row>
    <row r="28" spans="1:14" x14ac:dyDescent="0.25">
      <c r="A28" s="222" t="s">
        <v>272</v>
      </c>
      <c r="B28" s="191"/>
      <c r="C28" s="188" t="s">
        <v>60</v>
      </c>
      <c r="D28" s="227">
        <f>IF($G$2=נוסחאות!$B$2,נוסחאות!B25,IF($G$2=נוסחאות!$F$2,נוסחאות!F25,IF($G$2=נוסחאות!$J$2,נוסחאות!J25,0)))</f>
        <v>0</v>
      </c>
      <c r="E28" s="228">
        <f>IF($G$2=נוסחאות!$B$2,נוסחאות!C25,IF($G$2=נוסחאות!$F$2,נוסחאות!G25,IF($G$2=נוסחאות!$J$2,נוסחאות!K25,0)))</f>
        <v>0</v>
      </c>
      <c r="F28" s="228">
        <f>IF($G$2=נוסחאות!$B$2,נוסחאות!D25*$F$1,IF($G$2=נוסחאות!$F$2,נוסחאות!H25*$F$1,IF($G$2=נוסחאות!$J$2,נוסחאות!L25*$F$1,0)))</f>
        <v>0</v>
      </c>
      <c r="G28" s="229">
        <f t="shared" si="31"/>
        <v>0</v>
      </c>
      <c r="I28" s="49">
        <f t="shared" si="29"/>
        <v>0</v>
      </c>
      <c r="J28" s="182">
        <f t="shared" si="27"/>
        <v>0</v>
      </c>
      <c r="K28" s="184" t="str">
        <f t="shared" si="30"/>
        <v/>
      </c>
      <c r="L28" s="64" t="str">
        <f t="shared" si="28"/>
        <v/>
      </c>
      <c r="M28" s="46"/>
      <c r="N28" s="46"/>
    </row>
    <row r="29" spans="1:14" x14ac:dyDescent="0.25">
      <c r="A29" s="222" t="s">
        <v>273</v>
      </c>
      <c r="B29" s="191"/>
      <c r="C29" s="188" t="s">
        <v>62</v>
      </c>
      <c r="D29" s="227">
        <f>IF($G$2=נוסחאות!$B$2,נוסחאות!B26,IF($G$2=נוסחאות!$F$2,נוסחאות!F26,IF($G$2=נוסחאות!$J$2,נוסחאות!J26,0)))</f>
        <v>0</v>
      </c>
      <c r="E29" s="228">
        <f>IF($G$2=נוסחאות!$B$2,נוסחאות!C26,IF($G$2=נוסחאות!$F$2,נוסחאות!G26,IF($G$2=נוסחאות!$J$2,נוסחאות!K26,0)))</f>
        <v>0</v>
      </c>
      <c r="F29" s="228">
        <f>IF($G$2=נוסחאות!$B$2,נוסחאות!D26*$F$1,IF($G$2=נוסחאות!$F$2,נוסחאות!H26*$F$1,IF($G$2=נוסחאות!$J$2,נוסחאות!L26*$F$1,0)))</f>
        <v>0</v>
      </c>
      <c r="G29" s="229">
        <f t="shared" ref="G29" si="34">F29*E29</f>
        <v>0</v>
      </c>
      <c r="I29" s="49">
        <f t="shared" ref="I29" si="35">F29</f>
        <v>0</v>
      </c>
      <c r="J29" s="182">
        <f t="shared" si="27"/>
        <v>0</v>
      </c>
      <c r="K29" s="184" t="str">
        <f t="shared" ref="K29" si="36">IF(J29=0,"",IF(OR(J29-$G29&gt;0,J29-$G29&lt;0), (J29-$G29)/$G29, ""))</f>
        <v/>
      </c>
      <c r="L29" s="64" t="str">
        <f t="shared" si="28"/>
        <v/>
      </c>
      <c r="M29" s="46"/>
      <c r="N29" s="46"/>
    </row>
    <row r="30" spans="1:14" x14ac:dyDescent="0.25">
      <c r="A30" s="222" t="s">
        <v>274</v>
      </c>
      <c r="B30" s="191"/>
      <c r="C30" s="188" t="s">
        <v>63</v>
      </c>
      <c r="D30" s="227">
        <f>IF($G$2=נוסחאות!$B$2,נוסחאות!B27,IF($G$2=נוסחאות!$F$2,נוסחאות!F27,IF($G$2=נוסחאות!$J$2,נוסחאות!J27,0)))</f>
        <v>0</v>
      </c>
      <c r="E30" s="228">
        <f>IF($G$2=נוסחאות!$B$2,נוסחאות!C27,IF($G$2=נוסחאות!$F$2,נוסחאות!G27,IF($G$2=נוסחאות!$J$2,נוסחאות!K27,0)))</f>
        <v>0</v>
      </c>
      <c r="F30" s="228">
        <f>IF($G$2=נוסחאות!$B$2,נוסחאות!D27*$F$1,IF($G$2=נוסחאות!$F$2,נוסחאות!H27*$F$1,IF($G$2=נוסחאות!$J$2,נוסחאות!L27*$F$1,0)))</f>
        <v>0</v>
      </c>
      <c r="G30" s="229">
        <f t="shared" si="31"/>
        <v>0</v>
      </c>
      <c r="I30" s="49">
        <f t="shared" si="29"/>
        <v>0</v>
      </c>
      <c r="J30" s="182">
        <f t="shared" si="27"/>
        <v>0</v>
      </c>
      <c r="K30" s="184" t="str">
        <f t="shared" si="30"/>
        <v/>
      </c>
      <c r="L30" s="64" t="str">
        <f t="shared" si="28"/>
        <v/>
      </c>
      <c r="M30" s="46"/>
      <c r="N30" s="46"/>
    </row>
    <row r="31" spans="1:14" x14ac:dyDescent="0.25">
      <c r="A31" s="222" t="s">
        <v>275</v>
      </c>
      <c r="B31" s="191"/>
      <c r="C31" s="188" t="s">
        <v>57</v>
      </c>
      <c r="D31" s="227">
        <f>IF($G$2=נוסחאות!$B$2,נוסחאות!B23,IF($G$2=נוסחאות!$F$2,נוסחאות!F23,IF($G$2=נוסחאות!$J$2,נוסחאות!J23,0)))</f>
        <v>0</v>
      </c>
      <c r="E31" s="228">
        <f>IF($G$2=נוסחאות!$B$2,נוסחאות!C23,IF($G$2=נוסחאות!$F$2,נוסחאות!G23,IF($G$2=נוסחאות!$J$2,נוסחאות!K23,0)))</f>
        <v>0</v>
      </c>
      <c r="F31" s="228">
        <f>IF($G$2=נוסחאות!$B$2,נוסחאות!D23*$F$1,IF($G$2=נוסחאות!$F$2,נוסחאות!H23*$F$1,IF($G$2=נוסחאות!$J$2,נוסחאות!L23*$F$1,0)))</f>
        <v>0</v>
      </c>
      <c r="G31" s="229">
        <f t="shared" si="31"/>
        <v>0</v>
      </c>
      <c r="I31" s="49">
        <f t="shared" si="29"/>
        <v>0</v>
      </c>
      <c r="J31" s="182">
        <f t="shared" si="27"/>
        <v>0</v>
      </c>
      <c r="K31" s="184" t="str">
        <f t="shared" si="30"/>
        <v/>
      </c>
      <c r="L31" s="64" t="str">
        <f t="shared" si="28"/>
        <v/>
      </c>
      <c r="M31" s="46"/>
      <c r="N31" s="46"/>
    </row>
    <row r="32" spans="1:14" ht="29.25" x14ac:dyDescent="0.25">
      <c r="A32" s="222" t="s">
        <v>276</v>
      </c>
      <c r="B32" s="191"/>
      <c r="C32" s="188" t="s">
        <v>225</v>
      </c>
      <c r="D32" s="227">
        <f>IF($G$2=נוסחאות!$B$2,נוסחאות!B29,IF($G$2=נוסחאות!$F$2,נוסחאות!F29,IF($G$2=נוסחאות!$J$2,נוסחאות!J29,0)))</f>
        <v>0</v>
      </c>
      <c r="E32" s="228">
        <f>IF($G$2=נוסחאות!$B$2,נוסחאות!C29,IF($G$2=נוסחאות!$F$2,נוסחאות!G29,IF($G$2=נוסחאות!$J$2,נוסחאות!K29,0)))</f>
        <v>0</v>
      </c>
      <c r="F32" s="228">
        <f>IF($G$2=נוסחאות!$B$2,נוסחאות!D29*$F$1,IF($G$2=נוסחאות!$F$2,נוסחאות!H29*$F$1,IF($G$2=נוסחאות!$J$2,נוסחאות!L29*$F$1,0)))</f>
        <v>0</v>
      </c>
      <c r="G32" s="229">
        <f t="shared" ref="G32:G35" si="37">F32*E32</f>
        <v>0</v>
      </c>
      <c r="I32" s="49">
        <f t="shared" si="29"/>
        <v>0</v>
      </c>
      <c r="J32" s="182">
        <f t="shared" si="27"/>
        <v>0</v>
      </c>
      <c r="K32" s="184" t="str">
        <f t="shared" si="30"/>
        <v/>
      </c>
      <c r="L32" s="64" t="str">
        <f t="shared" si="28"/>
        <v/>
      </c>
      <c r="M32" s="46"/>
      <c r="N32" s="46"/>
    </row>
    <row r="33" spans="1:14" x14ac:dyDescent="0.25">
      <c r="A33" s="222" t="s">
        <v>277</v>
      </c>
      <c r="B33" s="191"/>
      <c r="C33" s="188" t="s">
        <v>278</v>
      </c>
      <c r="D33" s="227">
        <f>IF($G$2=נוסחאות!$B$2,נוסחאות!B30,IF($G$2=נוסחאות!$F$2,נוסחאות!F30,IF($G$2=נוסחאות!$J$2,נוסחאות!J30,0)))</f>
        <v>0</v>
      </c>
      <c r="E33" s="228">
        <f>IF($G$2=נוסחאות!$B$2,נוסחאות!C30,IF($G$2=נוסחאות!$F$2,נוסחאות!G30,IF($G$2=נוסחאות!$J$2,נוסחאות!K30,0)))</f>
        <v>0</v>
      </c>
      <c r="F33" s="228">
        <f>IF($G$2=נוסחאות!$B$2,נוסחאות!D30*$F$1,IF($G$2=נוסחאות!$F$2,נוסחאות!H30*$F$1,IF($G$2=נוסחאות!$J$2,נוסחאות!L30*$F$1,0)))</f>
        <v>0</v>
      </c>
      <c r="G33" s="229">
        <f t="shared" si="37"/>
        <v>0</v>
      </c>
      <c r="I33" s="49">
        <f t="shared" si="29"/>
        <v>0</v>
      </c>
      <c r="J33" s="182">
        <f t="shared" si="27"/>
        <v>0</v>
      </c>
      <c r="K33" s="184" t="str">
        <f t="shared" si="30"/>
        <v/>
      </c>
      <c r="L33" s="64" t="str">
        <f t="shared" si="28"/>
        <v/>
      </c>
      <c r="M33" s="46"/>
      <c r="N33" s="46"/>
    </row>
    <row r="34" spans="1:14" x14ac:dyDescent="0.25">
      <c r="A34" s="222" t="s">
        <v>279</v>
      </c>
      <c r="B34" s="190" t="s">
        <v>280</v>
      </c>
      <c r="C34" s="188" t="s">
        <v>230</v>
      </c>
      <c r="D34" s="227">
        <f>IF($G$2=נוסחאות!$B$2,נוסחאות!B21,IF($G$2=נוסחאות!$F$2,נוסחאות!F21,IF($G$2=נוסחאות!$J$2,נוסחאות!J21,0)))</f>
        <v>0</v>
      </c>
      <c r="E34" s="228">
        <f>IF($G$2=נוסחאות!$B$2,נוסחאות!C21,IF($G$2=נוסחאות!$F$2,נוסחאות!G21,IF($G$2=נוסחאות!$J$2,נוסחאות!K21,0)))</f>
        <v>0</v>
      </c>
      <c r="F34" s="228">
        <f>IF($G$2=נוסחאות!$B$2,נוסחאות!D21*$F$1,IF($G$2=נוסחאות!$F$2,נוסחאות!H21*$F$1,IF($G$2=נוסחאות!$J$2,נוסחאות!L21*$F$1,0)))</f>
        <v>0</v>
      </c>
      <c r="G34" s="229">
        <f t="shared" ref="G34" si="38">F34*E34</f>
        <v>0</v>
      </c>
      <c r="I34" s="49">
        <f t="shared" si="26"/>
        <v>0</v>
      </c>
      <c r="J34" s="182">
        <f t="shared" si="27"/>
        <v>0</v>
      </c>
      <c r="K34" s="184" t="str">
        <f t="shared" si="4"/>
        <v/>
      </c>
      <c r="L34" s="64" t="str">
        <f t="shared" si="28"/>
        <v/>
      </c>
      <c r="M34" s="46"/>
      <c r="N34" s="46"/>
    </row>
    <row r="35" spans="1:14" x14ac:dyDescent="0.25">
      <c r="A35" s="222" t="s">
        <v>281</v>
      </c>
      <c r="B35" s="192" t="s">
        <v>282</v>
      </c>
      <c r="C35" s="188" t="s">
        <v>283</v>
      </c>
      <c r="D35" s="227">
        <f>IF($G$2=נוסחאות!$B$2,נוסחאות!B34,IF($G$2=נוסחאות!$F$2,נוסחאות!F34,IF($G$2=נוסחאות!$J$2,נוסחאות!J34,0)))</f>
        <v>0</v>
      </c>
      <c r="E35" s="228">
        <f>IF($G$2=נוסחאות!$B$2,נוסחאות!C34,IF($G$2=נוסחאות!$F$2,נוסחאות!G34,IF($G$2=נוסחאות!$J$2,נוסחאות!K34,0)))</f>
        <v>0</v>
      </c>
      <c r="F35" s="228">
        <f>IF($G$2=נוסחאות!$B$2,נוסחאות!D34*$F$1,IF($G$2=נוסחאות!$F$2,נוסחאות!H34*$F$1,IF($G$2=נוסחאות!$J$2,נוסחאות!L34*$F$1,0)))</f>
        <v>0</v>
      </c>
      <c r="G35" s="229">
        <f t="shared" si="37"/>
        <v>0</v>
      </c>
      <c r="I35" s="49">
        <f t="shared" si="26"/>
        <v>0</v>
      </c>
      <c r="J35" s="182">
        <f t="shared" si="27"/>
        <v>0</v>
      </c>
      <c r="K35" s="184" t="str">
        <f t="shared" si="4"/>
        <v/>
      </c>
      <c r="L35" s="64" t="str">
        <f t="shared" si="28"/>
        <v/>
      </c>
      <c r="M35" s="46"/>
      <c r="N35" s="46"/>
    </row>
    <row r="36" spans="1:14" s="204" customFormat="1" ht="14.25" x14ac:dyDescent="0.2">
      <c r="A36" s="230" t="s">
        <v>284</v>
      </c>
      <c r="B36" s="194" t="s">
        <v>285</v>
      </c>
      <c r="C36" s="194"/>
      <c r="D36" s="236"/>
      <c r="E36" s="233"/>
      <c r="F36" s="233"/>
      <c r="G36" s="233">
        <f>SUM(G22:G35)</f>
        <v>0</v>
      </c>
      <c r="I36" s="230"/>
      <c r="J36" s="233">
        <f>SUM(J22:J35)</f>
        <v>0</v>
      </c>
      <c r="K36" s="205" t="str">
        <f t="shared" si="4"/>
        <v/>
      </c>
      <c r="L36" s="231" t="str">
        <f>B36</f>
        <v>סה"כ סלון כולל מע"מ</v>
      </c>
      <c r="M36" s="194"/>
      <c r="N36" s="234"/>
    </row>
    <row r="37" spans="1:14" s="204" customFormat="1" ht="14.25" x14ac:dyDescent="0.2">
      <c r="A37" s="230">
        <v>2.2999999999999998</v>
      </c>
      <c r="B37" s="231"/>
      <c r="C37" s="194" t="s">
        <v>286</v>
      </c>
      <c r="D37" s="194"/>
      <c r="E37" s="232"/>
      <c r="F37" s="232"/>
      <c r="G37" s="288"/>
      <c r="I37" s="231"/>
      <c r="J37" s="194" t="str">
        <f>C37</f>
        <v xml:space="preserve">ציוד כללי </v>
      </c>
      <c r="K37" s="314"/>
      <c r="L37" s="194"/>
      <c r="M37" s="194"/>
      <c r="N37" s="234"/>
    </row>
    <row r="38" spans="1:14" x14ac:dyDescent="0.25">
      <c r="A38" s="222" t="s">
        <v>287</v>
      </c>
      <c r="B38" s="190" t="s">
        <v>288</v>
      </c>
      <c r="C38" s="188" t="s">
        <v>87</v>
      </c>
      <c r="D38" s="227">
        <f>IF($G$2=נוסחאות!$B$2,נוסחאות!B42,IF($G$2=נוסחאות!$F$2,נוסחאות!F42,IF($G$2=נוסחאות!$J$2,נוסחאות!J42,0)))</f>
        <v>0</v>
      </c>
      <c r="E38" s="228">
        <f>IF($G$2=נוסחאות!$B$2,נוסחאות!C42,IF($G$2=נוסחאות!$F$2,נוסחאות!G42,IF($G$2=נוסחאות!$J$2,נוסחאות!K42,0)))</f>
        <v>0</v>
      </c>
      <c r="F38" s="228">
        <f>IF($G$2=נוסחאות!$B$2,נוסחאות!D42*$F$1,IF($G$2=נוסחאות!$F$2,נוסחאות!H42*$F$1,IF($G$2=נוסחאות!$J$2,נוסחאות!L42*$F$1,0)))</f>
        <v>0</v>
      </c>
      <c r="G38" s="229">
        <f t="shared" ref="G38:G50" si="39">F38*E38</f>
        <v>0</v>
      </c>
      <c r="I38" s="49">
        <f t="shared" ref="I38:I46" si="40">F38</f>
        <v>0</v>
      </c>
      <c r="J38" s="182">
        <f t="shared" ref="J38:J50" si="41">IF(G38=0,0,I38*E38)</f>
        <v>0</v>
      </c>
      <c r="K38" s="184" t="str">
        <f t="shared" si="4"/>
        <v/>
      </c>
      <c r="L38" s="64" t="str">
        <f t="shared" ref="L38:L50" si="42">IF(I38&gt;F38,"יש להסביר חריגה","")</f>
        <v/>
      </c>
      <c r="M38" s="46"/>
      <c r="N38" s="46"/>
    </row>
    <row r="39" spans="1:14" x14ac:dyDescent="0.25">
      <c r="A39" s="222" t="s">
        <v>289</v>
      </c>
      <c r="B39" s="191"/>
      <c r="C39" s="188" t="s">
        <v>83</v>
      </c>
      <c r="D39" s="227">
        <f>IF($G$2=נוסחאות!$B$2,נוסחאות!B39,IF($G$2=נוסחאות!$F$2,נוסחאות!F39,IF($G$2=נוסחאות!$J$2,נוסחאות!J39,0)))</f>
        <v>0</v>
      </c>
      <c r="E39" s="228">
        <f>IF($G$2=נוסחאות!$B$2,נוסחאות!C39,IF($G$2=נוסחאות!$F$2,נוסחאות!G39,IF($G$2=נוסחאות!$J$2,נוסחאות!K39,0)))</f>
        <v>0</v>
      </c>
      <c r="F39" s="228">
        <f>IF($G$2=נוסחאות!$B$2,נוסחאות!D39*$F$1,IF($G$2=נוסחאות!$F$2,נוסחאות!H39*$F$1,IF($G$2=נוסחאות!$J$2,נוסחאות!L39*$F$1,0)))</f>
        <v>0</v>
      </c>
      <c r="G39" s="229">
        <f t="shared" ref="G39:G41" si="43">F39*E39</f>
        <v>0</v>
      </c>
      <c r="I39" s="49">
        <f t="shared" ref="I39:I41" si="44">F39</f>
        <v>0</v>
      </c>
      <c r="J39" s="182">
        <f t="shared" si="41"/>
        <v>0</v>
      </c>
      <c r="K39" s="184" t="str">
        <f t="shared" ref="K39:K41" si="45">IF(J39=0,"",IF(OR(J39-$G39&gt;0,J39-$G39&lt;0), (J39-$G39)/$G39, ""))</f>
        <v/>
      </c>
      <c r="L39" s="64" t="str">
        <f t="shared" si="42"/>
        <v/>
      </c>
      <c r="M39" s="46"/>
      <c r="N39" s="46"/>
    </row>
    <row r="40" spans="1:14" x14ac:dyDescent="0.25">
      <c r="A40" s="222" t="s">
        <v>290</v>
      </c>
      <c r="B40" s="191"/>
      <c r="C40" s="188" t="s">
        <v>85</v>
      </c>
      <c r="D40" s="227">
        <f>IF($G$2=נוסחאות!$B$2,נוסחאות!B40,IF($G$2=נוסחאות!$F$2,נוסחאות!F40,IF($G$2=נוסחאות!$J$2,נוסחאות!J40,0)))</f>
        <v>0</v>
      </c>
      <c r="E40" s="228">
        <f>IF($G$2=נוסחאות!$B$2,נוסחאות!C40,IF($G$2=נוסחאות!$F$2,נוסחאות!G40,IF($G$2=נוסחאות!$J$2,נוסחאות!K40,0)))</f>
        <v>0</v>
      </c>
      <c r="F40" s="228">
        <f>IF($G$2=נוסחאות!$B$2,נוסחאות!D40*$F$1,IF($G$2=נוסחאות!$F$2,נוסחאות!H40*$F$1,IF($G$2=נוסחאות!$J$2,נוסחאות!L40*$F$1,0)))</f>
        <v>0</v>
      </c>
      <c r="G40" s="229">
        <f t="shared" si="43"/>
        <v>0</v>
      </c>
      <c r="I40" s="49">
        <f t="shared" si="44"/>
        <v>0</v>
      </c>
      <c r="J40" s="182">
        <f t="shared" si="41"/>
        <v>0</v>
      </c>
      <c r="K40" s="184"/>
      <c r="L40" s="64" t="str">
        <f t="shared" si="42"/>
        <v/>
      </c>
      <c r="M40" s="46"/>
      <c r="N40" s="46"/>
    </row>
    <row r="41" spans="1:14" x14ac:dyDescent="0.25">
      <c r="A41" s="222" t="s">
        <v>291</v>
      </c>
      <c r="B41" s="191"/>
      <c r="C41" s="188" t="s">
        <v>86</v>
      </c>
      <c r="D41" s="227">
        <f>IF($G$2=נוסחאות!$B$2,נוסחאות!B41,IF($G$2=נוסחאות!$F$2,נוסחאות!F41,IF($G$2=נוסחאות!$J$2,נוסחאות!J41,0)))</f>
        <v>0</v>
      </c>
      <c r="E41" s="228">
        <f>IF($G$2=נוסחאות!$B$2,נוסחאות!C41,IF($G$2=נוסחאות!$F$2,נוסחאות!G41,IF($G$2=נוסחאות!$J$2,נוסחאות!K41,0)))</f>
        <v>0</v>
      </c>
      <c r="F41" s="228">
        <f>IF($G$2=נוסחאות!$B$2,נוסחאות!D41*$F$1,IF($G$2=נוסחאות!$F$2,נוסחאות!H41*$F$1,IF($G$2=נוסחאות!$J$2,נוסחאות!L41*$F$1,0)))</f>
        <v>0</v>
      </c>
      <c r="G41" s="229">
        <f t="shared" si="43"/>
        <v>0</v>
      </c>
      <c r="I41" s="49">
        <f t="shared" si="44"/>
        <v>0</v>
      </c>
      <c r="J41" s="182">
        <f t="shared" si="41"/>
        <v>0</v>
      </c>
      <c r="K41" s="184" t="str">
        <f t="shared" si="45"/>
        <v/>
      </c>
      <c r="L41" s="64" t="str">
        <f t="shared" si="42"/>
        <v/>
      </c>
      <c r="M41" s="46"/>
      <c r="N41" s="46"/>
    </row>
    <row r="42" spans="1:14" x14ac:dyDescent="0.25">
      <c r="A42" s="222" t="s">
        <v>292</v>
      </c>
      <c r="B42" s="191"/>
      <c r="C42" s="188" t="s">
        <v>82</v>
      </c>
      <c r="D42" s="227">
        <f>IF($G$2=נוסחאות!$B$2,נוסחאות!B38,IF($G$2=נוסחאות!$F$2,נוסחאות!F38,IF($G$2=נוסחאות!$J$2,נוסחאות!J38,0)))</f>
        <v>0</v>
      </c>
      <c r="E42" s="228">
        <f>IF($G$2=נוסחאות!$B$2,נוסחאות!C38,IF($G$2=נוסחאות!$F$2,נוסחאות!G38,IF($G$2=נוסחאות!$J$2,נוסחאות!K38,0)))</f>
        <v>0</v>
      </c>
      <c r="F42" s="228">
        <f>IF($G$2=נוסחאות!$B$2,נוסחאות!D38*$F$1,IF($G$2=נוסחאות!$F$2,נוסחאות!H38*$F$1,IF($G$2=נוסחאות!$J$2,נוסחאות!L38*$F$1,0)))</f>
        <v>0</v>
      </c>
      <c r="G42" s="229">
        <f t="shared" ref="G42:G43" si="46">F42*E42</f>
        <v>0</v>
      </c>
      <c r="I42" s="49">
        <f t="shared" ref="I42:I43" si="47">F42</f>
        <v>0</v>
      </c>
      <c r="J42" s="182">
        <f t="shared" si="41"/>
        <v>0</v>
      </c>
      <c r="K42" s="184" t="str">
        <f t="shared" ref="K42:K43" si="48">IF(J42=0,"",IF(OR(J42-$G42&gt;0,J42-$G42&lt;0), (J42-$G42)/$G42, ""))</f>
        <v/>
      </c>
      <c r="L42" s="64" t="str">
        <f t="shared" si="42"/>
        <v/>
      </c>
      <c r="M42" s="46"/>
      <c r="N42" s="46"/>
    </row>
    <row r="43" spans="1:14" x14ac:dyDescent="0.25">
      <c r="A43" s="222" t="s">
        <v>293</v>
      </c>
      <c r="B43" s="192"/>
      <c r="C43" s="188" t="s">
        <v>98</v>
      </c>
      <c r="D43" s="227">
        <f>IF($G$2=נוסחאות!$B$2,נוסחאות!B48,IF($G$2=נוסחאות!$F$2,נוסחאות!F48,IF($G$2=נוסחאות!$J$2,נוסחאות!J48,0)))</f>
        <v>0</v>
      </c>
      <c r="E43" s="228">
        <f>IF($G$2=נוסחאות!$B$2,נוסחאות!C48,IF($G$2=נוסחאות!$F$2,נוסחאות!G48,IF($G$2=נוסחאות!$J$2,נוסחאות!K48,0)))</f>
        <v>0</v>
      </c>
      <c r="F43" s="228">
        <f>IF($G$2=נוסחאות!$B$2,נוסחאות!D48*$F$1,IF($G$2=נוסחאות!$F$2,נוסחאות!H48*$F$1,IF($G$2=נוסחאות!$J$2,נוסחאות!L48*$F$1,0)))</f>
        <v>0</v>
      </c>
      <c r="G43" s="229">
        <f t="shared" si="46"/>
        <v>0</v>
      </c>
      <c r="I43" s="49">
        <f t="shared" si="47"/>
        <v>0</v>
      </c>
      <c r="J43" s="182">
        <f t="shared" si="41"/>
        <v>0</v>
      </c>
      <c r="K43" s="184" t="str">
        <f t="shared" si="48"/>
        <v/>
      </c>
      <c r="L43" s="64" t="str">
        <f t="shared" si="42"/>
        <v/>
      </c>
      <c r="M43" s="46"/>
      <c r="N43" s="46"/>
    </row>
    <row r="44" spans="1:14" ht="30" x14ac:dyDescent="0.25">
      <c r="A44" s="222" t="s">
        <v>294</v>
      </c>
      <c r="B44" s="190" t="s">
        <v>229</v>
      </c>
      <c r="C44" s="188" t="s">
        <v>295</v>
      </c>
      <c r="D44" s="227">
        <f>IF($G$2=נוסחאות!$B$2,נוסחאות!B43,IF($G$2=נוסחאות!$F$2,נוסחאות!F43,IF($G$2=נוסחאות!$J$2,נוסחאות!J43,0)))</f>
        <v>0</v>
      </c>
      <c r="E44" s="228">
        <f>IF($G$2=נוסחאות!$B$2,נוסחאות!C43,IF($G$2=נוסחאות!$F$2,נוסחאות!G43,IF($G$2=נוסחאות!$J$2,נוסחאות!K43,0)))</f>
        <v>0</v>
      </c>
      <c r="F44" s="228">
        <f>IF($G$2=נוסחאות!$B$2,נוסחאות!D43*$F$1,IF($G$2=נוסחאות!$F$2,נוסחאות!H43*$F$1,IF($G$2=נוסחאות!$J$2,נוסחאות!L43*$F$1,0)))</f>
        <v>0</v>
      </c>
      <c r="G44" s="229">
        <f t="shared" si="39"/>
        <v>0</v>
      </c>
      <c r="I44" s="49">
        <f t="shared" si="40"/>
        <v>0</v>
      </c>
      <c r="J44" s="182">
        <f t="shared" si="41"/>
        <v>0</v>
      </c>
      <c r="K44" s="184" t="str">
        <f t="shared" si="4"/>
        <v/>
      </c>
      <c r="L44" s="64" t="str">
        <f t="shared" si="42"/>
        <v/>
      </c>
      <c r="M44" s="46"/>
      <c r="N44" s="46"/>
    </row>
    <row r="45" spans="1:14" x14ac:dyDescent="0.25">
      <c r="A45" s="222" t="s">
        <v>296</v>
      </c>
      <c r="B45" s="191"/>
      <c r="C45" s="188" t="s">
        <v>101</v>
      </c>
      <c r="D45" s="227">
        <f>IF($G$2=נוסחאות!$B$2,נוסחאות!B49,IF($G$2=נוסחאות!$F$2,נוסחאות!F49,IF($G$2=נוסחאות!$J$2,נוסחאות!J49,0)))</f>
        <v>0</v>
      </c>
      <c r="E45" s="228">
        <f>IF($G$2=נוסחאות!$B$2,נוסחאות!C49,IF($G$2=נוסחאות!$F$2,נוסחאות!G49,IF($G$2=נוסחאות!$J$2,נוסחאות!K49,0)))</f>
        <v>0</v>
      </c>
      <c r="F45" s="228">
        <f>IF($G$2=נוסחאות!$B$2,נוסחאות!D49*$F$1,IF($G$2=נוסחאות!$F$2,נוסחאות!H49*$F$1,IF($G$2=נוסחאות!$J$2,נוסחאות!L49*$F$1,0)))</f>
        <v>0</v>
      </c>
      <c r="G45" s="229">
        <f t="shared" si="39"/>
        <v>0</v>
      </c>
      <c r="I45" s="49">
        <f t="shared" si="40"/>
        <v>0</v>
      </c>
      <c r="J45" s="182">
        <f t="shared" si="41"/>
        <v>0</v>
      </c>
      <c r="K45" s="184"/>
      <c r="L45" s="64" t="str">
        <f t="shared" si="42"/>
        <v/>
      </c>
      <c r="M45" s="46"/>
      <c r="N45" s="46"/>
    </row>
    <row r="46" spans="1:14" x14ac:dyDescent="0.25">
      <c r="A46" s="222" t="s">
        <v>297</v>
      </c>
      <c r="B46" s="191"/>
      <c r="C46" s="188" t="s">
        <v>93</v>
      </c>
      <c r="D46" s="227">
        <f>IF($G$2=נוסחאות!$B$2,נוסחאות!B44,IF($G$2=נוסחאות!$F$2,נוסחאות!F44,IF($G$2=נוסחאות!$J$2,נוסחאות!J44,0)))</f>
        <v>0</v>
      </c>
      <c r="E46" s="228">
        <f>IF($G$2=נוסחאות!$B$2,נוסחאות!C44,IF($G$2=נוסחאות!$F$2,נוסחאות!G44,IF($G$2=נוסחאות!$J$2,נוסחאות!K44,0)))</f>
        <v>0</v>
      </c>
      <c r="F46" s="228">
        <f>IF($G$2=נוסחאות!$B$2,נוסחאות!D44*$F$1,IF($G$2=נוסחאות!$F$2,נוסחאות!H44*$F$1,IF($G$2=נוסחאות!$J$2,נוסחאות!L44*$F$1,0)))</f>
        <v>0</v>
      </c>
      <c r="G46" s="229">
        <f t="shared" si="39"/>
        <v>0</v>
      </c>
      <c r="I46" s="49">
        <f t="shared" si="40"/>
        <v>0</v>
      </c>
      <c r="J46" s="182">
        <f t="shared" si="41"/>
        <v>0</v>
      </c>
      <c r="K46" s="184" t="str">
        <f t="shared" si="4"/>
        <v/>
      </c>
      <c r="L46" s="64" t="str">
        <f t="shared" si="42"/>
        <v/>
      </c>
      <c r="M46" s="46"/>
      <c r="N46" s="46"/>
    </row>
    <row r="47" spans="1:14" x14ac:dyDescent="0.25">
      <c r="A47" s="222" t="s">
        <v>298</v>
      </c>
      <c r="B47" s="191"/>
      <c r="C47" s="188" t="s">
        <v>94</v>
      </c>
      <c r="D47" s="227">
        <f>IF($G$2=נוסחאות!$B$2,נוסחאות!B45,IF($G$2=נוסחאות!$F$2,נוסחאות!F45,IF($G$2=נוסחאות!$J$2,נוסחאות!J45,0)))</f>
        <v>0</v>
      </c>
      <c r="E47" s="228">
        <f>IF($G$2=נוסחאות!$B$2,נוסחאות!C45,IF($G$2=נוסחאות!$F$2,נוסחאות!G45,IF($G$2=נוסחאות!$J$2,נוסחאות!K45,0)))</f>
        <v>0</v>
      </c>
      <c r="F47" s="228">
        <f>IF($G$2=נוסחאות!$B$2,נוסחאות!D45*$F$1,IF($G$2=נוסחאות!$F$2,נוסחאות!H45*$F$1,IF($G$2=נוסחאות!$J$2,נוסחאות!L45*$F$1,0)))</f>
        <v>0</v>
      </c>
      <c r="G47" s="229">
        <f t="shared" ref="G47" si="49">F47*E47</f>
        <v>0</v>
      </c>
      <c r="I47" s="49">
        <f t="shared" ref="I47" si="50">F47</f>
        <v>0</v>
      </c>
      <c r="J47" s="182">
        <f t="shared" si="41"/>
        <v>0</v>
      </c>
      <c r="K47" s="184" t="str">
        <f t="shared" ref="K47" si="51">IF(J47=0,"",IF(OR(J47-$G47&gt;0,J47-$G47&lt;0), (J47-$G47)/$G47, ""))</f>
        <v/>
      </c>
      <c r="L47" s="64" t="str">
        <f t="shared" si="42"/>
        <v/>
      </c>
      <c r="M47" s="46"/>
      <c r="N47" s="46"/>
    </row>
    <row r="48" spans="1:14" x14ac:dyDescent="0.25">
      <c r="A48" s="222" t="s">
        <v>299</v>
      </c>
      <c r="B48" s="191"/>
      <c r="C48" s="188" t="s">
        <v>300</v>
      </c>
      <c r="D48" s="227">
        <f>IF($G$2=נוסחאות!$B$2,נוסחאות!B47,IF($G$2=נוסחאות!$F$2,נוסחאות!F47,IF($G$2=נוסחאות!$J$2,נוסחאות!J47,0)))</f>
        <v>0</v>
      </c>
      <c r="E48" s="228">
        <f>IF($G$2=נוסחאות!$B$2,נוסחאות!C47,IF($G$2=נוסחאות!$F$2,נוסחאות!G47,IF($G$2=נוסחאות!$J$2,נוסחאות!K47,0)))</f>
        <v>0</v>
      </c>
      <c r="F48" s="228">
        <f>IF($G$2=נוסחאות!$B$2,נוסחאות!D47*$F$1,IF($G$2=נוסחאות!$F$2,נוסחאות!H47*$F$1,IF($G$2=נוסחאות!$J$2,נוסחאות!L47*$F$1,0)))</f>
        <v>0</v>
      </c>
      <c r="G48" s="229">
        <f t="shared" ref="G48" si="52">F48*E48</f>
        <v>0</v>
      </c>
      <c r="I48" s="49">
        <f t="shared" ref="I48" si="53">F48</f>
        <v>0</v>
      </c>
      <c r="J48" s="182">
        <f t="shared" si="41"/>
        <v>0</v>
      </c>
      <c r="K48" s="184" t="str">
        <f t="shared" ref="K48" si="54">IF(J48=0,"",IF(OR(J48-$G48&gt;0,J48-$G48&lt;0), (J48-$G48)/$G48, ""))</f>
        <v/>
      </c>
      <c r="L48" s="64" t="str">
        <f t="shared" si="42"/>
        <v/>
      </c>
      <c r="M48" s="46"/>
      <c r="N48" s="46"/>
    </row>
    <row r="49" spans="1:14" x14ac:dyDescent="0.25">
      <c r="A49" s="222" t="s">
        <v>301</v>
      </c>
      <c r="B49" s="191"/>
      <c r="C49" s="188" t="s">
        <v>103</v>
      </c>
      <c r="D49" s="227">
        <f>IF($G$2=נוסחאות!$B$2,נוסחאות!B50,IF($G$2=נוסחאות!$F$2,נוסחאות!F50,IF($G$2=נוסחאות!$J$2,נוסחאות!J50,0)))</f>
        <v>0</v>
      </c>
      <c r="E49" s="228">
        <f>IF($G$2=נוסחאות!$B$2,נוסחאות!C50,IF($G$2=נוסחאות!$F$2,נוסחאות!G50,IF($G$2=נוסחאות!$J$2,נוסחאות!K50,0)))</f>
        <v>0</v>
      </c>
      <c r="F49" s="228">
        <f>IF($G$2=נוסחאות!$B$2,נוסחאות!D50*$F$1,IF($G$2=נוסחאות!$F$2,נוסחאות!H50*$F$1,IF($G$2=נוסחאות!$J$2,נוסחאות!L50*$F$1,0)))</f>
        <v>0</v>
      </c>
      <c r="G49" s="229">
        <f t="shared" ref="G49" si="55">F49*E49</f>
        <v>0</v>
      </c>
      <c r="I49" s="49">
        <f t="shared" ref="I49:I50" si="56">F49</f>
        <v>0</v>
      </c>
      <c r="J49" s="182">
        <f t="shared" si="41"/>
        <v>0</v>
      </c>
      <c r="K49" s="184" t="str">
        <f t="shared" ref="K49" si="57">IF(J49=0,"",IF(OR(J49-$G49&gt;0,J49-$G49&lt;0), (J49-$G49)/$G49, ""))</f>
        <v/>
      </c>
      <c r="L49" s="64" t="str">
        <f t="shared" si="42"/>
        <v/>
      </c>
      <c r="M49" s="46"/>
      <c r="N49" s="46"/>
    </row>
    <row r="50" spans="1:14" x14ac:dyDescent="0.25">
      <c r="A50" s="222" t="s">
        <v>302</v>
      </c>
      <c r="B50" s="213" t="s">
        <v>303</v>
      </c>
      <c r="C50" s="188" t="s">
        <v>104</v>
      </c>
      <c r="D50" s="227">
        <f>IF($G$2=נוסחאות!$B$2,נוסחאות!B51,IF($G$2=נוסחאות!$F$2,נוסחאות!F51,IF($G$2=נוסחאות!$J$2,נוסחאות!J51,0)))</f>
        <v>0</v>
      </c>
      <c r="E50" s="228">
        <f>IF($G$2=נוסחאות!$B$2,נוסחאות!C51,IF($G$2=נוסחאות!$F$2,נוסחאות!G51,IF($G$2=נוסחאות!$J$2,נוסחאות!K51,0)))</f>
        <v>0</v>
      </c>
      <c r="F50" s="228">
        <f>IF($G$2=נוסחאות!$B$2,נוסחאות!D51*$F$1,IF($G$2=נוסחאות!$F$2,נוסחאות!H51*$F$1,IF($G$2=נוסחאות!$J$2,נוסחאות!L51*$F$1,0)))</f>
        <v>0</v>
      </c>
      <c r="G50" s="229">
        <f t="shared" si="39"/>
        <v>0</v>
      </c>
      <c r="I50" s="49">
        <f t="shared" si="56"/>
        <v>0</v>
      </c>
      <c r="J50" s="182">
        <f t="shared" si="41"/>
        <v>0</v>
      </c>
      <c r="K50" s="184" t="str">
        <f t="shared" si="4"/>
        <v/>
      </c>
      <c r="L50" s="64" t="str">
        <f t="shared" si="42"/>
        <v/>
      </c>
      <c r="M50" s="46"/>
      <c r="N50" s="46"/>
    </row>
    <row r="51" spans="1:14" s="204" customFormat="1" ht="14.25" x14ac:dyDescent="0.2">
      <c r="A51" s="230" t="s">
        <v>304</v>
      </c>
      <c r="B51" s="194" t="s">
        <v>305</v>
      </c>
      <c r="C51" s="194"/>
      <c r="D51" s="194"/>
      <c r="E51" s="232"/>
      <c r="F51" s="288"/>
      <c r="G51" s="233">
        <f>SUM(G38:G50)</f>
        <v>0</v>
      </c>
      <c r="I51" s="230"/>
      <c r="J51" s="233">
        <f>SUM(J38:J50)</f>
        <v>0</v>
      </c>
      <c r="K51" s="205" t="str">
        <f t="shared" si="4"/>
        <v/>
      </c>
      <c r="L51" s="231" t="str">
        <f>B51</f>
        <v>סה"כ ציוד כללי כולל מע"מ</v>
      </c>
      <c r="M51" s="194"/>
      <c r="N51" s="234"/>
    </row>
    <row r="52" spans="1:14" s="204" customFormat="1" ht="14.25" x14ac:dyDescent="0.2">
      <c r="A52" s="230">
        <v>2.4</v>
      </c>
      <c r="B52" s="231"/>
      <c r="C52" s="194" t="s">
        <v>306</v>
      </c>
      <c r="D52" s="194"/>
      <c r="E52" s="232"/>
      <c r="F52" s="232"/>
      <c r="G52" s="288"/>
      <c r="I52" s="231"/>
      <c r="J52" s="194" t="str">
        <f>C52</f>
        <v>ציוד חצר/ מרפסת</v>
      </c>
      <c r="K52" s="314"/>
      <c r="L52" s="194"/>
      <c r="M52" s="194"/>
      <c r="N52" s="234"/>
    </row>
    <row r="53" spans="1:14" s="204" customFormat="1" x14ac:dyDescent="0.25">
      <c r="A53" s="315" t="s">
        <v>307</v>
      </c>
      <c r="B53" s="190" t="s">
        <v>214</v>
      </c>
      <c r="C53" s="254" t="s">
        <v>112</v>
      </c>
      <c r="D53" s="227">
        <f>IF($G$2=נוסחאות!$B$2,נוסחאות!B56,IF($G$2=נוסחאות!$F$2,נוסחאות!F56,IF($G$2=נוסחאות!$J$2,נוסחאות!J56,0)))</f>
        <v>0</v>
      </c>
      <c r="E53" s="228">
        <f>IF($G$2=נוסחאות!$B$2,נוסחאות!C56,IF($G$2=נוסחאות!$F$2,נוסחאות!G56,IF($G$2=נוסחאות!$J$2,נוסחאות!K56,0)))</f>
        <v>0</v>
      </c>
      <c r="F53" s="295">
        <v>1</v>
      </c>
      <c r="G53" s="265">
        <f>F53*E53</f>
        <v>0</v>
      </c>
      <c r="H53" s="239"/>
      <c r="I53" s="56">
        <f>IF('שאלון למילוי הגוף-חובה'!$D$43="כן",F53,0)</f>
        <v>0</v>
      </c>
      <c r="J53" s="203">
        <f>IF('שאלון למילוי הגוף-חובה'!$D$43="כן",E53*I53,0)</f>
        <v>0</v>
      </c>
      <c r="K53" s="184" t="str">
        <f t="shared" ref="K53:K54" si="58">IF(J53=0,"",IF(OR(J53-G53&gt;0,J53-G53&lt;0), (J53-G53)/G53, ""))</f>
        <v/>
      </c>
      <c r="L53" s="64" t="str">
        <f t="shared" ref="L53:L54" si="59">IF(I53&gt;F53,"יש להסביר חריגה","")</f>
        <v/>
      </c>
      <c r="M53" s="46"/>
      <c r="N53" s="46" t="str">
        <f>IF('שאלון למילוי הגוף-חובה'!$D$43="לא","אין חצר","")</f>
        <v/>
      </c>
    </row>
    <row r="54" spans="1:14" s="204" customFormat="1" x14ac:dyDescent="0.25">
      <c r="A54" s="315" t="s">
        <v>308</v>
      </c>
      <c r="B54" s="192"/>
      <c r="C54" s="254" t="s">
        <v>113</v>
      </c>
      <c r="D54" s="227">
        <f>IF($G$2=נוסחאות!$B$2,נוסחאות!B57,IF($G$2=נוסחאות!$F$2,נוסחאות!F57,IF($G$2=נוסחאות!$J$2,נוסחאות!J57,0)))</f>
        <v>0</v>
      </c>
      <c r="E54" s="228">
        <f>IF($G$2=נוסחאות!$B$2,נוסחאות!C57,IF($G$2=נוסחאות!$F$2,נוסחאות!G57,IF($G$2=נוסחאות!$J$2,נוסחאות!K57,0)))</f>
        <v>0</v>
      </c>
      <c r="F54" s="295">
        <v>1</v>
      </c>
      <c r="G54" s="265">
        <f>F54*E54</f>
        <v>0</v>
      </c>
      <c r="H54" s="239"/>
      <c r="I54" s="56">
        <f>IF('שאלון למילוי הגוף-חובה'!$D$43="כן",F54,0)</f>
        <v>0</v>
      </c>
      <c r="J54" s="203">
        <f>IF('שאלון למילוי הגוף-חובה'!$D$43="כן",E54*I54,0)</f>
        <v>0</v>
      </c>
      <c r="K54" s="184" t="str">
        <f t="shared" si="58"/>
        <v/>
      </c>
      <c r="L54" s="64" t="str">
        <f t="shared" si="59"/>
        <v/>
      </c>
      <c r="M54" s="46"/>
      <c r="N54" s="46" t="str">
        <f>IF('שאלון למילוי הגוף-חובה'!$D$43="לא","אין חצר","")</f>
        <v/>
      </c>
    </row>
    <row r="55" spans="1:14" s="204" customFormat="1" ht="14.25" x14ac:dyDescent="0.2">
      <c r="A55" s="231" t="s">
        <v>309</v>
      </c>
      <c r="B55" s="194" t="s">
        <v>310</v>
      </c>
      <c r="C55" s="194"/>
      <c r="D55" s="194"/>
      <c r="E55" s="232"/>
      <c r="F55" s="288"/>
      <c r="G55" s="233">
        <f>SUM(G53:G54)</f>
        <v>0</v>
      </c>
      <c r="I55" s="230"/>
      <c r="J55" s="233">
        <f>SUM(J53:J54)</f>
        <v>0</v>
      </c>
      <c r="K55" s="205" t="str">
        <f t="shared" ref="K55" si="60">IF(J55=0,"",IF(OR(J55-$G55&gt;0,J55-$G55&lt;0), (J55-$G55)/$G55, ""))</f>
        <v/>
      </c>
      <c r="L55" s="231" t="str">
        <f>B55</f>
        <v>סה"כ חצר/ מרפסת כולל מע"מ</v>
      </c>
      <c r="M55" s="194"/>
      <c r="N55" s="234"/>
    </row>
    <row r="56" spans="1:14" s="204" customFormat="1" ht="14.25" x14ac:dyDescent="0.2">
      <c r="A56" s="231" t="s">
        <v>311</v>
      </c>
      <c r="B56" s="194"/>
      <c r="C56" s="194"/>
      <c r="D56" s="194"/>
      <c r="E56" s="232"/>
      <c r="F56" s="288"/>
      <c r="G56" s="233">
        <f>G20+G36+G51+G55</f>
        <v>0</v>
      </c>
      <c r="I56" s="230"/>
      <c r="J56" s="233">
        <f>J20+J36+J51+J55</f>
        <v>0</v>
      </c>
      <c r="K56" s="205" t="str">
        <f t="shared" si="4"/>
        <v/>
      </c>
      <c r="L56" s="231" t="str">
        <f>A56</f>
        <v>סה"כ חללים משותפים בדירה קהילתית כולל מע"מ</v>
      </c>
      <c r="M56" s="194"/>
      <c r="N56" s="234"/>
    </row>
    <row r="57" spans="1:14" x14ac:dyDescent="0.25">
      <c r="C57" s="237"/>
    </row>
  </sheetData>
  <sheetProtection algorithmName="SHA-512" hashValue="LdAsz10kfymXHoFLjkja4nYwlgQJkQVpZ8M5NSdxSgZ4MFVK+H74Zy2BRuXMt/qvnPdq/JSA0AOlPJruP0A+mA==" saltValue="QY/lJ1aaAN4Jn/zdt2GPWg==" spinCount="100000" sheet="1" formatCells="0" formatColumns="0" formatRows="0"/>
  <conditionalFormatting sqref="K32:K36 K22:K30 K14 K10:K11 K7 K19:K20">
    <cfRule type="cellIs" dxfId="23" priority="44" operator="greaterThan">
      <formula>0</formula>
    </cfRule>
  </conditionalFormatting>
  <conditionalFormatting sqref="K38:K51">
    <cfRule type="cellIs" dxfId="22" priority="19" operator="greaterThan">
      <formula>0</formula>
    </cfRule>
  </conditionalFormatting>
  <conditionalFormatting sqref="K31">
    <cfRule type="cellIs" dxfId="21" priority="15" operator="greaterThan">
      <formula>0</formula>
    </cfRule>
  </conditionalFormatting>
  <conditionalFormatting sqref="K18">
    <cfRule type="cellIs" dxfId="20" priority="12" operator="greaterThan">
      <formula>0</formula>
    </cfRule>
  </conditionalFormatting>
  <conditionalFormatting sqref="K17">
    <cfRule type="cellIs" dxfId="19" priority="11" operator="greaterThan">
      <formula>0</formula>
    </cfRule>
  </conditionalFormatting>
  <conditionalFormatting sqref="K16">
    <cfRule type="cellIs" dxfId="18" priority="10" operator="greaterThan">
      <formula>0</formula>
    </cfRule>
  </conditionalFormatting>
  <conditionalFormatting sqref="K15">
    <cfRule type="cellIs" dxfId="17" priority="9" operator="greaterThan">
      <formula>0</formula>
    </cfRule>
  </conditionalFormatting>
  <conditionalFormatting sqref="K13">
    <cfRule type="cellIs" dxfId="16" priority="8" operator="greaterThan">
      <formula>0</formula>
    </cfRule>
  </conditionalFormatting>
  <conditionalFormatting sqref="K8">
    <cfRule type="cellIs" dxfId="15" priority="7" operator="greaterThan">
      <formula>0</formula>
    </cfRule>
  </conditionalFormatting>
  <conditionalFormatting sqref="K9">
    <cfRule type="cellIs" dxfId="14" priority="6" operator="greaterThan">
      <formula>0</formula>
    </cfRule>
  </conditionalFormatting>
  <conditionalFormatting sqref="K12">
    <cfRule type="cellIs" dxfId="13" priority="5" operator="greaterThan">
      <formula>0</formula>
    </cfRule>
  </conditionalFormatting>
  <conditionalFormatting sqref="K55">
    <cfRule type="cellIs" dxfId="12" priority="4" operator="greaterThan">
      <formula>0</formula>
    </cfRule>
  </conditionalFormatting>
  <conditionalFormatting sqref="K53:K54">
    <cfRule type="cellIs" dxfId="11" priority="3" operator="greaterThan">
      <formula>0</formula>
    </cfRule>
  </conditionalFormatting>
  <conditionalFormatting sqref="K56">
    <cfRule type="cellIs" dxfId="10" priority="2" operator="greaterThan">
      <formula>0</formula>
    </cfRule>
  </conditionalFormatting>
  <conditionalFormatting sqref="K6">
    <cfRule type="cellIs" dxfId="9" priority="1" operator="greaterThan">
      <formula>0</formula>
    </cfRule>
  </conditionalFormatting>
  <dataValidations count="1">
    <dataValidation type="list" allowBlank="1" showInputMessage="1" showErrorMessage="1" sqref="M6:M19 M22:M35 M38:M50 M53:M54">
      <formula1>"מאושר, לא מאושר"</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rightToLeft="1" zoomScaleNormal="100" workbookViewId="0">
      <pane xSplit="3" ySplit="4" topLeftCell="D5" activePane="bottomRight" state="frozen"/>
      <selection pane="topRight"/>
      <selection pane="bottomLeft"/>
      <selection pane="bottomRight" activeCell="G2" sqref="G2"/>
    </sheetView>
  </sheetViews>
  <sheetFormatPr defaultColWidth="9" defaultRowHeight="15" x14ac:dyDescent="0.25"/>
  <cols>
    <col min="1" max="1" width="6.25" style="238" customWidth="1"/>
    <col min="2" max="2" width="9" style="238" customWidth="1"/>
    <col min="3" max="3" width="17.5" style="238" customWidth="1"/>
    <col min="4" max="4" width="22.125" style="238" customWidth="1"/>
    <col min="5" max="5" width="10.25" style="159" customWidth="1"/>
    <col min="6" max="6" width="7.75" style="238" customWidth="1"/>
    <col min="7" max="7" width="10.75" style="238" customWidth="1"/>
    <col min="8" max="8" width="1.5" style="238" customWidth="1"/>
    <col min="9" max="9" width="7.625" style="238" customWidth="1"/>
    <col min="10" max="10" width="9.5" style="238" customWidth="1"/>
    <col min="11" max="11" width="8.875" style="238" bestFit="1" customWidth="1"/>
    <col min="12" max="12" width="13.5" style="238" customWidth="1"/>
    <col min="13" max="13" width="9.375" style="238" customWidth="1"/>
    <col min="14" max="14" width="14.375" style="238" customWidth="1"/>
    <col min="15" max="15" width="3.75" style="238" customWidth="1"/>
    <col min="16" max="16384" width="9" style="238"/>
  </cols>
  <sheetData>
    <row r="1" spans="1:14" x14ac:dyDescent="0.25">
      <c r="A1" s="85" t="str">
        <f>'תוכן עניינים'!$B$7</f>
        <v xml:space="preserve">תקן ריהוט וציוד לדיור קהילתי </v>
      </c>
      <c r="E1" s="289" t="str">
        <f>'שאלון למילוי הגוף-חובה'!$C$33</f>
        <v>מס' דירות מעל 8 דיירים</v>
      </c>
      <c r="F1" s="290">
        <f>'שאלון למילוי הגוף-חובה'!$D$33</f>
        <v>0</v>
      </c>
      <c r="G1" s="330" t="s">
        <v>235</v>
      </c>
    </row>
    <row r="2" spans="1:14" x14ac:dyDescent="0.25">
      <c r="A2" s="239">
        <v>3</v>
      </c>
      <c r="B2" s="240" t="str">
        <f>'תוכן עניינים'!C16</f>
        <v>בית שיתופי: ציוד חללים משותפים (מעל 8 דיירים)</v>
      </c>
      <c r="D2" s="239"/>
      <c r="E2" s="289" t="str">
        <f>'שאלון למילוי הגוף-חובה'!C34</f>
        <v>מס' דיירים בדירות מעל 8 דיירים</v>
      </c>
      <c r="F2" s="290">
        <f>'שאלון למילוי הגוף-חובה'!D34</f>
        <v>0</v>
      </c>
      <c r="G2" s="331" t="str">
        <f>IF(F1=0,"הגיליון אינו רלוונטי לבקשה",IF(F2/F1&lt;=8,"הגיליון אינו רלוונטי לבקשה",IF(F2/F1&lt;=16,"עד 16","עד 24")))</f>
        <v>הגיליון אינו רלוונטי לבקשה</v>
      </c>
      <c r="H2" s="204"/>
    </row>
    <row r="3" spans="1:14" x14ac:dyDescent="0.25">
      <c r="A3" s="241"/>
      <c r="B3" s="242"/>
      <c r="C3" s="242" t="s">
        <v>199</v>
      </c>
      <c r="D3" s="242"/>
      <c r="E3" s="291"/>
      <c r="F3" s="242"/>
      <c r="G3" s="243"/>
      <c r="I3" s="174" t="s">
        <v>200</v>
      </c>
      <c r="J3" s="175"/>
      <c r="K3" s="175"/>
      <c r="L3" s="175"/>
      <c r="M3" s="175"/>
      <c r="N3" s="176"/>
    </row>
    <row r="4" spans="1:14" ht="30" x14ac:dyDescent="0.25">
      <c r="A4" s="222" t="s">
        <v>201</v>
      </c>
      <c r="B4" s="177" t="s">
        <v>202</v>
      </c>
      <c r="C4" s="149" t="s">
        <v>203</v>
      </c>
      <c r="D4" s="149" t="s">
        <v>204</v>
      </c>
      <c r="E4" s="149" t="s">
        <v>236</v>
      </c>
      <c r="F4" s="213" t="s">
        <v>237</v>
      </c>
      <c r="G4" s="149" t="s">
        <v>238</v>
      </c>
      <c r="I4" s="178" t="s">
        <v>208</v>
      </c>
      <c r="J4" s="178" t="s">
        <v>209</v>
      </c>
      <c r="K4" s="179" t="s">
        <v>210</v>
      </c>
      <c r="L4" s="149" t="s">
        <v>211</v>
      </c>
      <c r="M4" s="149" t="s">
        <v>212</v>
      </c>
      <c r="N4" s="149" t="s">
        <v>213</v>
      </c>
    </row>
    <row r="5" spans="1:14" s="239" customFormat="1" x14ac:dyDescent="0.25">
      <c r="A5" s="245">
        <v>3.1</v>
      </c>
      <c r="B5" s="200"/>
      <c r="C5" s="246" t="s">
        <v>312</v>
      </c>
      <c r="D5" s="246"/>
      <c r="E5" s="247"/>
      <c r="F5" s="292"/>
      <c r="G5" s="248"/>
      <c r="I5" s="206"/>
      <c r="J5" s="246" t="str">
        <f>C5</f>
        <v>מטבח מרכזי</v>
      </c>
      <c r="K5" s="246"/>
      <c r="L5" s="247"/>
      <c r="M5" s="247"/>
      <c r="N5" s="243"/>
    </row>
    <row r="6" spans="1:14" x14ac:dyDescent="0.25">
      <c r="A6" s="148" t="s">
        <v>313</v>
      </c>
      <c r="B6" s="249" t="s">
        <v>242</v>
      </c>
      <c r="C6" s="250" t="s">
        <v>243</v>
      </c>
      <c r="D6" s="251">
        <f>IF($G$2=נוסחאות!$N$2,נוסחאות!N7,IF($G$2=נוסחאות!$R$2,נוסחאות!R7,0))</f>
        <v>0</v>
      </c>
      <c r="E6" s="182">
        <f>IF($G$2=נוסחאות!$N$2,נוסחאות!O7,IF($G$2=נוסחאות!$R$2,נוסחאות!O7,0))</f>
        <v>0</v>
      </c>
      <c r="F6" s="183">
        <f>IF($G$2=נוסחאות!$N$2,נוסחאות!P7*$F$1,IF($G$2=נוסחאות!$R$2,נוסחאות!T7*$F$1,0))</f>
        <v>0</v>
      </c>
      <c r="G6" s="182">
        <f t="shared" ref="G6:G19" si="0">F6*E6</f>
        <v>0</v>
      </c>
      <c r="I6" s="49">
        <f t="shared" ref="I6:I19" si="1">F6</f>
        <v>0</v>
      </c>
      <c r="J6" s="182">
        <f t="shared" ref="J6:J19" si="2">IF(G6=0,0,I6*E6)</f>
        <v>0</v>
      </c>
      <c r="K6" s="252" t="str">
        <f t="shared" ref="K6:K20" si="3">IF(J6=0,"",IF(OR(J6-G6&gt;0,J6-G6&lt;0), (J6-G6)/G6, ""))</f>
        <v/>
      </c>
      <c r="L6" s="64" t="str">
        <f t="shared" ref="L6:L19" si="4">IF(I6&gt;F6,"יש להסביר חריגה","")</f>
        <v/>
      </c>
      <c r="M6" s="46"/>
      <c r="N6" s="46"/>
    </row>
    <row r="7" spans="1:14" x14ac:dyDescent="0.25">
      <c r="A7" s="148" t="s">
        <v>314</v>
      </c>
      <c r="B7" s="253"/>
      <c r="C7" s="254" t="s">
        <v>315</v>
      </c>
      <c r="D7" s="251">
        <f>IF($G$2=נוסחאות!$N$2,נוסחאות!N18,IF($G$2=נוסחאות!$R$2,נוסחאות!R18,0))</f>
        <v>0</v>
      </c>
      <c r="E7" s="182">
        <f>IF($G$2=נוסחאות!$N$2,נוסחאות!O18,IF($G$2=נוסחאות!$R$2,נוסחאות!S18,0))</f>
        <v>0</v>
      </c>
      <c r="F7" s="183">
        <f>IF($G$2=נוסחאות!$N$2,נוסחאות!P18*$F$1,IF($G$2=נוסחאות!$R$2,נוסחאות!T18*$F$1,0))</f>
        <v>0</v>
      </c>
      <c r="G7" s="182">
        <f t="shared" si="0"/>
        <v>0</v>
      </c>
      <c r="I7" s="49">
        <f t="shared" si="1"/>
        <v>0</v>
      </c>
      <c r="J7" s="182">
        <f t="shared" si="2"/>
        <v>0</v>
      </c>
      <c r="K7" s="252" t="str">
        <f t="shared" si="3"/>
        <v/>
      </c>
      <c r="L7" s="64" t="str">
        <f t="shared" si="4"/>
        <v/>
      </c>
      <c r="M7" s="46"/>
      <c r="N7" s="46"/>
    </row>
    <row r="8" spans="1:14" x14ac:dyDescent="0.25">
      <c r="A8" s="148" t="s">
        <v>316</v>
      </c>
      <c r="B8" s="255"/>
      <c r="C8" s="254" t="s">
        <v>25</v>
      </c>
      <c r="D8" s="251">
        <f>IF($G$2=נוסחאות!$N$2,נוסחאות!N6,IF($G$2=נוסחאות!$R$2,נוסחאות!R6,0))</f>
        <v>0</v>
      </c>
      <c r="E8" s="182">
        <f>IF($G$2=נוסחאות!$N$2,נוסחאות!O6,IF($G$2=נוסחאות!$R$2,נוסחאות!S6,0))</f>
        <v>0</v>
      </c>
      <c r="F8" s="183">
        <f>IF($G$2=נוסחאות!$N$2,נוסחאות!P6*$F$1,IF($G$2=נוסחאות!$R$2,נוסחאות!T6*$F$1,0))</f>
        <v>0</v>
      </c>
      <c r="G8" s="182">
        <f t="shared" si="0"/>
        <v>0</v>
      </c>
      <c r="I8" s="49">
        <f t="shared" si="1"/>
        <v>0</v>
      </c>
      <c r="J8" s="182">
        <f t="shared" si="2"/>
        <v>0</v>
      </c>
      <c r="K8" s="252" t="str">
        <f t="shared" si="3"/>
        <v/>
      </c>
      <c r="L8" s="64" t="str">
        <f t="shared" si="4"/>
        <v/>
      </c>
      <c r="M8" s="46"/>
      <c r="N8" s="46"/>
    </row>
    <row r="9" spans="1:14" x14ac:dyDescent="0.25">
      <c r="A9" s="148" t="s">
        <v>317</v>
      </c>
      <c r="B9" s="255"/>
      <c r="C9" s="254" t="s">
        <v>318</v>
      </c>
      <c r="D9" s="251">
        <f>IF($G$2=נוסחאות!$N$2,נוסחאות!N15,IF($G$2=נוסחאות!$R$2,נוסחאות!R15,0))</f>
        <v>0</v>
      </c>
      <c r="E9" s="182">
        <f>IF($G$2=נוסחאות!$N$2,נוסחאות!O15,IF($G$2=נוסחאות!$R$2,נוסחאות!S15,0))</f>
        <v>0</v>
      </c>
      <c r="F9" s="183">
        <f>IF($G$2=נוסחאות!$N$2,נוסחאות!P15*$F$1,IF($G$2=נוסחאות!$R$2,נוסחאות!T15*$F$1,0))</f>
        <v>0</v>
      </c>
      <c r="G9" s="182">
        <f t="shared" si="0"/>
        <v>0</v>
      </c>
      <c r="I9" s="49">
        <f t="shared" si="1"/>
        <v>0</v>
      </c>
      <c r="J9" s="182">
        <f t="shared" si="2"/>
        <v>0</v>
      </c>
      <c r="K9" s="252" t="str">
        <f t="shared" si="3"/>
        <v/>
      </c>
      <c r="L9" s="64" t="str">
        <f t="shared" si="4"/>
        <v/>
      </c>
      <c r="M9" s="46"/>
      <c r="N9" s="46"/>
    </row>
    <row r="10" spans="1:14" ht="13.5" customHeight="1" x14ac:dyDescent="0.25">
      <c r="A10" s="148" t="s">
        <v>319</v>
      </c>
      <c r="B10" s="255"/>
      <c r="C10" s="254" t="s">
        <v>320</v>
      </c>
      <c r="D10" s="251">
        <f>IF($G$2=נוסחאות!$N$2,נוסחאות!N10,IF($G$2=נוסחאות!$R$2,נוסחאות!R10,0))</f>
        <v>0</v>
      </c>
      <c r="E10" s="182">
        <f>IF($G$2=נוסחאות!$N$2,נוסחאות!O10,IF($G$2=נוסחאות!$R$2,נוסחאות!S10,0))</f>
        <v>0</v>
      </c>
      <c r="F10" s="183">
        <f>IF($G$2=נוסחאות!$N$2,נוסחאות!P10*$F$1,IF($G$2=נוסחאות!$R$2,נוסחאות!T10*$F$1,0))</f>
        <v>0</v>
      </c>
      <c r="G10" s="182">
        <f t="shared" si="0"/>
        <v>0</v>
      </c>
      <c r="I10" s="49">
        <f t="shared" si="1"/>
        <v>0</v>
      </c>
      <c r="J10" s="182">
        <f t="shared" si="2"/>
        <v>0</v>
      </c>
      <c r="K10" s="252" t="str">
        <f t="shared" si="3"/>
        <v/>
      </c>
      <c r="L10" s="64" t="str">
        <f t="shared" si="4"/>
        <v/>
      </c>
      <c r="M10" s="46"/>
      <c r="N10" s="46"/>
    </row>
    <row r="11" spans="1:14" ht="13.5" customHeight="1" x14ac:dyDescent="0.25">
      <c r="A11" s="148" t="s">
        <v>321</v>
      </c>
      <c r="B11" s="255"/>
      <c r="C11" s="250" t="s">
        <v>35</v>
      </c>
      <c r="D11" s="251">
        <f>IF($G$2=נוסחאות!$N$2,נוסחאות!N11,IF($G$2=נוסחאות!$R$2,נוסחאות!R11,0))</f>
        <v>0</v>
      </c>
      <c r="E11" s="182">
        <f>IF($G$2=נוסחאות!$N$2,נוסחאות!O11,IF($G$2=נוסחאות!$R$2,נוסחאות!S11,0))</f>
        <v>0</v>
      </c>
      <c r="F11" s="183">
        <f>IF($G$2=נוסחאות!$N$2,נוסחאות!P11*$F$1,IF($G$2=נוסחאות!$R$2,נוסחאות!T11*$F$1,0))</f>
        <v>0</v>
      </c>
      <c r="G11" s="182">
        <f t="shared" si="0"/>
        <v>0</v>
      </c>
      <c r="I11" s="49">
        <f t="shared" si="1"/>
        <v>0</v>
      </c>
      <c r="J11" s="182">
        <f t="shared" si="2"/>
        <v>0</v>
      </c>
      <c r="K11" s="252" t="str">
        <f t="shared" si="3"/>
        <v/>
      </c>
      <c r="L11" s="64" t="str">
        <f t="shared" si="4"/>
        <v/>
      </c>
      <c r="M11" s="46"/>
      <c r="N11" s="46"/>
    </row>
    <row r="12" spans="1:14" x14ac:dyDescent="0.25">
      <c r="A12" s="148" t="s">
        <v>322</v>
      </c>
      <c r="B12" s="255"/>
      <c r="C12" s="250" t="s">
        <v>37</v>
      </c>
      <c r="D12" s="251">
        <f>IF($G$2=נוסחאות!$N$2,נוסחאות!N13,IF($G$2=נוסחאות!$R$2,נוסחאות!R13,0))</f>
        <v>0</v>
      </c>
      <c r="E12" s="182">
        <f>IF($G$2=נוסחאות!$N$2,נוסחאות!O13,IF($G$2=נוסחאות!$R$2,נוסחאות!S13,0))</f>
        <v>0</v>
      </c>
      <c r="F12" s="183">
        <f>IF($G$2=נוסחאות!$N$2,נוסחאות!P13*$F$1,IF($G$2=נוסחאות!$R$2,נוסחאות!T13*$F$1,0))</f>
        <v>0</v>
      </c>
      <c r="G12" s="182">
        <f t="shared" si="0"/>
        <v>0</v>
      </c>
      <c r="I12" s="49">
        <f t="shared" si="1"/>
        <v>0</v>
      </c>
      <c r="J12" s="182">
        <f t="shared" si="2"/>
        <v>0</v>
      </c>
      <c r="K12" s="252" t="str">
        <f t="shared" si="3"/>
        <v/>
      </c>
      <c r="L12" s="64" t="str">
        <f t="shared" si="4"/>
        <v/>
      </c>
      <c r="M12" s="46"/>
      <c r="N12" s="46"/>
    </row>
    <row r="13" spans="1:14" x14ac:dyDescent="0.25">
      <c r="A13" s="148" t="s">
        <v>323</v>
      </c>
      <c r="B13" s="255"/>
      <c r="C13" s="250" t="s">
        <v>24</v>
      </c>
      <c r="D13" s="251">
        <f>IF($G$2=נוסחאות!$N$2,נוסחאות!N5,IF($G$2=נוסחאות!$R$2,נוסחאות!R5,0))</f>
        <v>0</v>
      </c>
      <c r="E13" s="183">
        <f>IF($G$2=נוסחאות!$N$2,נוסחאות!O5,IF($G$2=נוסחאות!$R$2,נוסחאות!S5,0))</f>
        <v>0</v>
      </c>
      <c r="F13" s="183">
        <f>IF($G$2=נוסחאות!$N$2,נוסחאות!P5*$F$1,IF($G$2=נוסחאות!$R$2,נוסחאות!T5*$F$1,0))</f>
        <v>0</v>
      </c>
      <c r="G13" s="182">
        <f t="shared" si="0"/>
        <v>0</v>
      </c>
      <c r="H13" s="239"/>
      <c r="I13" s="55">
        <f t="shared" si="1"/>
        <v>0</v>
      </c>
      <c r="J13" s="182">
        <f t="shared" si="2"/>
        <v>0</v>
      </c>
      <c r="K13" s="252" t="str">
        <f t="shared" si="3"/>
        <v/>
      </c>
      <c r="L13" s="64" t="str">
        <f>IF(I13&gt;F13,"יש להסביר חריגה","")</f>
        <v/>
      </c>
      <c r="M13" s="46"/>
      <c r="N13" s="46"/>
    </row>
    <row r="14" spans="1:14" x14ac:dyDescent="0.25">
      <c r="A14" s="148" t="s">
        <v>324</v>
      </c>
      <c r="B14" s="255"/>
      <c r="C14" s="250" t="s">
        <v>46</v>
      </c>
      <c r="D14" s="251">
        <f>IF($G$2=נוסחאות!$N$2,נוסחאות!N16,IF($G$2=נוסחאות!$R$2,נוסחאות!R16,0))</f>
        <v>0</v>
      </c>
      <c r="E14" s="182">
        <f>IF($G$2=נוסחאות!$N$2,נוסחאות!O16,IF($G$2=נוסחאות!$R$2,נוסחאות!S16,0))</f>
        <v>0</v>
      </c>
      <c r="F14" s="182">
        <f>IF($G$2=נוסחאות!$N$2,נוסחאות!P16*$F$1,IF($G$2=נוסחאות!$R$2,נוסחאות!T16*$F$1,0))</f>
        <v>0</v>
      </c>
      <c r="G14" s="182">
        <f t="shared" si="0"/>
        <v>0</v>
      </c>
      <c r="I14" s="49">
        <f t="shared" ref="I14:I18" si="5">F14</f>
        <v>0</v>
      </c>
      <c r="J14" s="182">
        <f t="shared" si="2"/>
        <v>0</v>
      </c>
      <c r="K14" s="252" t="str">
        <f t="shared" si="3"/>
        <v/>
      </c>
      <c r="L14" s="64" t="str">
        <f t="shared" si="4"/>
        <v/>
      </c>
      <c r="M14" s="46"/>
      <c r="N14" s="46"/>
    </row>
    <row r="15" spans="1:14" x14ac:dyDescent="0.25">
      <c r="A15" s="148" t="s">
        <v>325</v>
      </c>
      <c r="B15" s="255"/>
      <c r="C15" s="250" t="s">
        <v>326</v>
      </c>
      <c r="D15" s="251">
        <f>IF($G$2=נוסחאות!$N$2,נוסחאות!N17,IF($G$2=נוסחאות!$R$2,נוסחאות!R17,0))</f>
        <v>0</v>
      </c>
      <c r="E15" s="182">
        <f>IF($G$2=נוסחאות!$N$2,נוסחאות!O17,IF($G$2=נוסחאות!$R$2,נוסחאות!S17,0))</f>
        <v>0</v>
      </c>
      <c r="F15" s="182">
        <f>IF($G$2=נוסחאות!$N$2,נוסחאות!P17*$F$1,IF($G$2=נוסחאות!$R$2,נוסחאות!T17*$F$1,0))</f>
        <v>0</v>
      </c>
      <c r="G15" s="182">
        <f t="shared" si="0"/>
        <v>0</v>
      </c>
      <c r="I15" s="49">
        <f t="shared" si="5"/>
        <v>0</v>
      </c>
      <c r="J15" s="182">
        <f t="shared" si="2"/>
        <v>0</v>
      </c>
      <c r="K15" s="252" t="str">
        <f t="shared" si="3"/>
        <v/>
      </c>
      <c r="L15" s="64" t="str">
        <f>IF(I15&gt;F15,"יש להסביר חריגה","")</f>
        <v/>
      </c>
      <c r="M15" s="46"/>
      <c r="N15" s="46"/>
    </row>
    <row r="16" spans="1:14" x14ac:dyDescent="0.25">
      <c r="A16" s="148" t="s">
        <v>327</v>
      </c>
      <c r="B16" s="255"/>
      <c r="C16" s="250" t="s">
        <v>36</v>
      </c>
      <c r="D16" s="251">
        <f>IF($G$2=נוסחאות!$N$2,נוסחאות!N12,IF($G$2=נוסחאות!$R$2,נוסחאות!R12,0))</f>
        <v>0</v>
      </c>
      <c r="E16" s="183">
        <f>IF($G$2=נוסחאות!$N$2,נוסחאות!O12,IF($G$2=נוסחאות!$R$2,נוסחאות!S12,0))</f>
        <v>0</v>
      </c>
      <c r="F16" s="183">
        <f>IF($G$2=נוסחאות!$N$2,נוסחאות!P12*$F$1,IF($G$2=נוסחאות!$R$2,נוסחאות!T12*$F$1,0))</f>
        <v>0</v>
      </c>
      <c r="G16" s="182">
        <f t="shared" si="0"/>
        <v>0</v>
      </c>
      <c r="H16" s="239"/>
      <c r="I16" s="55">
        <f t="shared" si="5"/>
        <v>0</v>
      </c>
      <c r="J16" s="182">
        <f t="shared" si="2"/>
        <v>0</v>
      </c>
      <c r="K16" s="252" t="str">
        <f t="shared" ref="K16:K18" si="6">IF(J16=0,"",IF(OR(J16-G16&gt;0,J16-G16&lt;0), (J16-G16)/G16, ""))</f>
        <v/>
      </c>
      <c r="L16" s="64" t="str">
        <f t="shared" ref="L16:L18" si="7">IF(I16&gt;F16,"יש להסביר חריגה","")</f>
        <v/>
      </c>
      <c r="M16" s="46"/>
      <c r="N16" s="46"/>
    </row>
    <row r="17" spans="1:14" x14ac:dyDescent="0.25">
      <c r="A17" s="148" t="s">
        <v>328</v>
      </c>
      <c r="B17" s="253"/>
      <c r="C17" s="250" t="s">
        <v>31</v>
      </c>
      <c r="D17" s="251">
        <f>IF($G$2=נוסחאות!$N$2,נוסחאות!N8,IF($G$2=נוסחאות!$R$2,נוסחאות!R8,0))</f>
        <v>0</v>
      </c>
      <c r="E17" s="183">
        <f>IF($G$2=נוסחאות!$N$2,נוסחאות!O8,IF($G$2=נוסחאות!$R$2,נוסחאות!S8,0))</f>
        <v>0</v>
      </c>
      <c r="F17" s="183">
        <f>IF($G$2=נוסחאות!$N$2,נוסחאות!P8*$F$1,IF($G$2=נוסחאות!$R$2,נוסחאות!T8*$F$1,0))</f>
        <v>0</v>
      </c>
      <c r="G17" s="182">
        <f t="shared" si="0"/>
        <v>0</v>
      </c>
      <c r="H17" s="239"/>
      <c r="I17" s="55">
        <f t="shared" si="5"/>
        <v>0</v>
      </c>
      <c r="J17" s="182">
        <f t="shared" si="2"/>
        <v>0</v>
      </c>
      <c r="K17" s="252" t="str">
        <f t="shared" si="6"/>
        <v/>
      </c>
      <c r="L17" s="64" t="str">
        <f t="shared" si="7"/>
        <v/>
      </c>
      <c r="M17" s="46"/>
      <c r="N17" s="46"/>
    </row>
    <row r="18" spans="1:14" x14ac:dyDescent="0.25">
      <c r="A18" s="148" t="s">
        <v>329</v>
      </c>
      <c r="B18" s="253"/>
      <c r="C18" s="250" t="s">
        <v>32</v>
      </c>
      <c r="D18" s="251">
        <f>IF($G$2=נוסחאות!$N$2,נוסחאות!N9,IF($G$2=נוסחאות!$R$2,נוסחאות!R9,0))</f>
        <v>0</v>
      </c>
      <c r="E18" s="183">
        <f>IF($G$2=נוסחאות!$N$2,נוסחאות!O9,IF($G$2=נוסחאות!$R$2,נוסחאות!S9,0))</f>
        <v>0</v>
      </c>
      <c r="F18" s="183">
        <f>IF($G$2=נוסחאות!$N$2,נוסחאות!P9*$F$1,IF($G$2=נוסחאות!$R$2,נוסחאות!T9*$F$1,0))</f>
        <v>0</v>
      </c>
      <c r="G18" s="182">
        <f t="shared" si="0"/>
        <v>0</v>
      </c>
      <c r="H18" s="239"/>
      <c r="I18" s="55">
        <f t="shared" si="5"/>
        <v>0</v>
      </c>
      <c r="J18" s="182">
        <f t="shared" si="2"/>
        <v>0</v>
      </c>
      <c r="K18" s="252" t="str">
        <f t="shared" si="6"/>
        <v/>
      </c>
      <c r="L18" s="64" t="str">
        <f t="shared" si="7"/>
        <v/>
      </c>
      <c r="M18" s="46"/>
      <c r="N18" s="46"/>
    </row>
    <row r="19" spans="1:14" ht="30" x14ac:dyDescent="0.25">
      <c r="A19" s="148" t="s">
        <v>330</v>
      </c>
      <c r="B19" s="244" t="s">
        <v>229</v>
      </c>
      <c r="C19" s="254" t="s">
        <v>22</v>
      </c>
      <c r="D19" s="251">
        <f>IF($G$2=נוסחאות!$N$2,נוסחאות!N4,IF($G$2=נוסחאות!$R$2,נוסחאות!R4,0))</f>
        <v>0</v>
      </c>
      <c r="E19" s="182">
        <f>IF($G$2=נוסחאות!$N$2,נוסחאות!O4,IF($G$2=נוסחאות!$R$2,נוסחאות!S4,0))</f>
        <v>0</v>
      </c>
      <c r="F19" s="183">
        <f>IF($G$2=נוסחאות!$N$2,נוסחאות!P4*$F$1,IF($G$2=נוסחאות!$R$2,נוסחאות!T4*$F$1,0))</f>
        <v>0</v>
      </c>
      <c r="G19" s="182">
        <f t="shared" si="0"/>
        <v>0</v>
      </c>
      <c r="I19" s="49">
        <f t="shared" si="1"/>
        <v>0</v>
      </c>
      <c r="J19" s="182">
        <f t="shared" si="2"/>
        <v>0</v>
      </c>
      <c r="K19" s="184" t="str">
        <f t="shared" si="3"/>
        <v/>
      </c>
      <c r="L19" s="64" t="str">
        <f t="shared" si="4"/>
        <v/>
      </c>
      <c r="M19" s="46"/>
      <c r="N19" s="46"/>
    </row>
    <row r="20" spans="1:14" s="239" customFormat="1" ht="15" customHeight="1" x14ac:dyDescent="0.25">
      <c r="A20" s="256" t="s">
        <v>331</v>
      </c>
      <c r="B20" s="206" t="s">
        <v>332</v>
      </c>
      <c r="C20" s="200"/>
      <c r="D20" s="200"/>
      <c r="E20" s="293"/>
      <c r="F20" s="202"/>
      <c r="G20" s="257">
        <f>SUM(G6:G19)</f>
        <v>0</v>
      </c>
      <c r="I20" s="258"/>
      <c r="J20" s="257">
        <f>SUM(J6:J19)</f>
        <v>0</v>
      </c>
      <c r="K20" s="205" t="str">
        <f t="shared" si="3"/>
        <v/>
      </c>
      <c r="L20" s="259" t="str">
        <f>B20</f>
        <v>סה"כ מטבח מרכזי כולל מע"מ</v>
      </c>
      <c r="M20" s="259"/>
      <c r="N20" s="148"/>
    </row>
    <row r="21" spans="1:14" s="239" customFormat="1" ht="14.25" x14ac:dyDescent="0.2">
      <c r="A21" s="260">
        <v>3.2</v>
      </c>
      <c r="B21" s="200"/>
      <c r="C21" s="246" t="s">
        <v>333</v>
      </c>
      <c r="D21" s="246"/>
      <c r="E21" s="247"/>
      <c r="F21" s="292"/>
      <c r="G21" s="248"/>
      <c r="I21" s="261"/>
      <c r="J21" s="246" t="str">
        <f>C21</f>
        <v>סלון מרכזי</v>
      </c>
      <c r="K21" s="246"/>
      <c r="L21" s="246"/>
      <c r="M21" s="246"/>
      <c r="N21" s="248"/>
    </row>
    <row r="22" spans="1:14" x14ac:dyDescent="0.25">
      <c r="A22" s="148" t="s">
        <v>334</v>
      </c>
      <c r="B22" s="262" t="s">
        <v>214</v>
      </c>
      <c r="C22" s="254" t="s">
        <v>71</v>
      </c>
      <c r="D22" s="251">
        <f>IF($G$2=נוסחאות!$N$2,נוסחאות!N31,IF($G$2=נוסחאות!$R$2,נוסחאות!R31,0))</f>
        <v>0</v>
      </c>
      <c r="E22" s="182">
        <f>IF($G$2=נוסחאות!$N$2,נוסחאות!O31,IF($G$2=נוסחאות!$R$2,נוסחאות!S31,0))</f>
        <v>0</v>
      </c>
      <c r="F22" s="183">
        <f>IF($G$2=נוסחאות!$N$2,נוסחאות!P31*$F$1,IF($G$2=נוסחאות!$R$2,נוסחאות!T31*$F$1,0))</f>
        <v>0</v>
      </c>
      <c r="G22" s="182">
        <f t="shared" ref="G22:G37" si="8">F22*E22</f>
        <v>0</v>
      </c>
      <c r="I22" s="49">
        <f t="shared" ref="I22:I23" si="9">F22</f>
        <v>0</v>
      </c>
      <c r="J22" s="182">
        <f t="shared" ref="J22:J37" si="10">IF(G22=0,0,I22*E22)</f>
        <v>0</v>
      </c>
      <c r="K22" s="184" t="str">
        <f t="shared" ref="K22:K25" si="11">IF(J22=0,"",IF(OR(J22-G22&gt;0,J22-G22&lt;0), (J22-G22)/G22, ""))</f>
        <v/>
      </c>
      <c r="L22" s="64" t="str">
        <f t="shared" ref="L22:L37" si="12">IF(I22&gt;F22,"יש להסביר חריגה","")</f>
        <v/>
      </c>
      <c r="M22" s="46"/>
      <c r="N22" s="46"/>
    </row>
    <row r="23" spans="1:14" x14ac:dyDescent="0.25">
      <c r="A23" s="148" t="s">
        <v>335</v>
      </c>
      <c r="B23" s="255"/>
      <c r="C23" s="254" t="s">
        <v>264</v>
      </c>
      <c r="D23" s="251">
        <f>IF($G$2=נוסחאות!$N$2,נוסחאות!N32,IF($G$2=נוסחאות!$R$2,נוסחאות!R32,0))</f>
        <v>0</v>
      </c>
      <c r="E23" s="182">
        <f>IF($G$2=נוסחאות!$N$2,נוסחאות!O32,IF($G$2=נוסחאות!$R$2,נוסחאות!S32,0))</f>
        <v>0</v>
      </c>
      <c r="F23" s="183">
        <f>IF($G$2=נוסחאות!$N$2,נוסחאות!P32*$F$1,IF($G$2=נוסחאות!$R$2,נוסחאות!T32*$F$1,0))</f>
        <v>0</v>
      </c>
      <c r="G23" s="182">
        <f t="shared" si="8"/>
        <v>0</v>
      </c>
      <c r="I23" s="49">
        <f t="shared" si="9"/>
        <v>0</v>
      </c>
      <c r="J23" s="182">
        <f t="shared" si="10"/>
        <v>0</v>
      </c>
      <c r="K23" s="184" t="str">
        <f t="shared" si="11"/>
        <v/>
      </c>
      <c r="L23" s="64" t="str">
        <f t="shared" si="12"/>
        <v/>
      </c>
      <c r="M23" s="46"/>
      <c r="N23" s="46"/>
    </row>
    <row r="24" spans="1:14" x14ac:dyDescent="0.25">
      <c r="A24" s="148" t="s">
        <v>336</v>
      </c>
      <c r="B24" s="255"/>
      <c r="C24" s="254" t="s">
        <v>76</v>
      </c>
      <c r="D24" s="251">
        <f>IF($G$2=נוסחאות!$N$2,נוסחאות!N33,IF($G$2=נוסחאות!$R$2,נוסחאות!R33,0))</f>
        <v>0</v>
      </c>
      <c r="E24" s="182">
        <f>IF($G$2=נוסחאות!$N$2,נוסחאות!O33,IF($G$2=נוסחאות!$R$2,נוסחאות!S33,0))</f>
        <v>0</v>
      </c>
      <c r="F24" s="183">
        <f>IF($G$2=נוסחאות!$N$2,נוסחאות!P33*$F$1,IF($G$2=נוסחאות!$R$2,נוסחאות!T33*$F$1,0))</f>
        <v>0</v>
      </c>
      <c r="G24" s="182">
        <f t="shared" si="8"/>
        <v>0</v>
      </c>
      <c r="I24" s="49">
        <f t="shared" ref="I24" si="13">F24</f>
        <v>0</v>
      </c>
      <c r="J24" s="182">
        <f t="shared" si="10"/>
        <v>0</v>
      </c>
      <c r="K24" s="184" t="str">
        <f t="shared" si="11"/>
        <v/>
      </c>
      <c r="L24" s="64" t="str">
        <f t="shared" si="12"/>
        <v/>
      </c>
      <c r="M24" s="46"/>
      <c r="N24" s="46"/>
    </row>
    <row r="25" spans="1:14" x14ac:dyDescent="0.25">
      <c r="A25" s="148" t="s">
        <v>337</v>
      </c>
      <c r="B25" s="255"/>
      <c r="C25" s="254" t="s">
        <v>38</v>
      </c>
      <c r="D25" s="251">
        <f>IF($G$2=נוסחאות!$N$2,נוסחאות!N14,IF($G$2=נוסחאות!$R$2,נוסחאות!R14,0))</f>
        <v>0</v>
      </c>
      <c r="E25" s="182">
        <f>IF($G$2=נוסחאות!$N$2,נוסחאות!O14,IF($G$2=נוסחאות!$R$2,נוסחאות!S14,0))</f>
        <v>0</v>
      </c>
      <c r="F25" s="183">
        <f>IF($G$2=נוסחאות!$N$2,נוסחאות!P14*$F$1,IF($G$2=נוסחאות!$R$2,נוסחאות!T14*$F$1,0))</f>
        <v>0</v>
      </c>
      <c r="G25" s="182">
        <f t="shared" si="8"/>
        <v>0</v>
      </c>
      <c r="I25" s="49">
        <f t="shared" ref="I25:I27" si="14">F25</f>
        <v>0</v>
      </c>
      <c r="J25" s="182">
        <f t="shared" si="10"/>
        <v>0</v>
      </c>
      <c r="K25" s="184" t="str">
        <f t="shared" si="11"/>
        <v/>
      </c>
      <c r="L25" s="64" t="str">
        <f t="shared" si="12"/>
        <v/>
      </c>
      <c r="M25" s="46"/>
      <c r="N25" s="46"/>
    </row>
    <row r="26" spans="1:14" x14ac:dyDescent="0.25">
      <c r="A26" s="148" t="s">
        <v>338</v>
      </c>
      <c r="B26" s="263"/>
      <c r="C26" s="254" t="s">
        <v>78</v>
      </c>
      <c r="D26" s="251">
        <f>IF($G$2=נוסחאות!$N$2,נוסחאות!N35,IF($G$2=נוסחאות!$R$2,נוסחאות!R35,0))</f>
        <v>0</v>
      </c>
      <c r="E26" s="182">
        <f>IF($G$2=נוסחאות!$N$2,נוסחאות!O35,IF($G$2=נוסחאות!$R$2,נוסחאות!S35,0))</f>
        <v>0</v>
      </c>
      <c r="F26" s="183">
        <f>IF($G$2=נוסחאות!$N$2,נוסחאות!P35*$F$1,IF($G$2=נוסחאות!$R$2,נוסחאות!T35*$F$1,0))</f>
        <v>0</v>
      </c>
      <c r="G26" s="182">
        <f t="shared" si="8"/>
        <v>0</v>
      </c>
      <c r="I26" s="49">
        <f t="shared" si="14"/>
        <v>0</v>
      </c>
      <c r="J26" s="182">
        <f t="shared" si="10"/>
        <v>0</v>
      </c>
      <c r="K26" s="184" t="str">
        <f t="shared" ref="K26:K27" si="15">IF(J26=0,"",IF(OR(J26-G26&gt;0,J26-G26&lt;0), (J26-G26)/G26, ""))</f>
        <v/>
      </c>
      <c r="L26" s="64" t="str">
        <f t="shared" si="12"/>
        <v/>
      </c>
      <c r="M26" s="46"/>
      <c r="N26" s="46"/>
    </row>
    <row r="27" spans="1:14" x14ac:dyDescent="0.25">
      <c r="A27" s="148" t="s">
        <v>339</v>
      </c>
      <c r="B27" s="244" t="s">
        <v>242</v>
      </c>
      <c r="C27" s="254" t="s">
        <v>340</v>
      </c>
      <c r="D27" s="251">
        <f>IF($G$2=נוסחאות!$N$2,נוסחאות!N28,IF($G$2=נוסחאות!$R$2,נוסחאות!R28,0))</f>
        <v>0</v>
      </c>
      <c r="E27" s="182">
        <f>IF($G$2=נוסחאות!$N$2,נוסחאות!O28,IF($G$2=נוסחאות!$R$2,נוסחאות!S28,0))</f>
        <v>0</v>
      </c>
      <c r="F27" s="183">
        <f>IF($G$2=נוסחאות!$N$2,נוסחאות!P28*$F$1,IF($G$2=נוסחאות!$R$2,נוסחאות!T28*$F$1,0))</f>
        <v>0</v>
      </c>
      <c r="G27" s="182">
        <f t="shared" si="8"/>
        <v>0</v>
      </c>
      <c r="I27" s="49">
        <f t="shared" si="14"/>
        <v>0</v>
      </c>
      <c r="J27" s="182">
        <f t="shared" si="10"/>
        <v>0</v>
      </c>
      <c r="K27" s="184" t="str">
        <f t="shared" si="15"/>
        <v/>
      </c>
      <c r="L27" s="64" t="str">
        <f t="shared" si="12"/>
        <v/>
      </c>
      <c r="M27" s="46"/>
      <c r="N27" s="46"/>
    </row>
    <row r="28" spans="1:14" ht="30" x14ac:dyDescent="0.25">
      <c r="A28" s="148" t="s">
        <v>341</v>
      </c>
      <c r="B28" s="190" t="s">
        <v>224</v>
      </c>
      <c r="C28" s="254" t="s">
        <v>342</v>
      </c>
      <c r="D28" s="251">
        <f>IF($G$2=נוסחאות!$N$2,נוסחאות!N22,IF($G$2=נוסחאות!$R$2,נוסחאות!R22,0))</f>
        <v>0</v>
      </c>
      <c r="E28" s="182">
        <f>IF($G$2=נוסחאות!$N$2,נוסחאות!O22,IF($G$2=נוסחאות!$R$2,נוסחאות!S22,0))</f>
        <v>0</v>
      </c>
      <c r="F28" s="183">
        <f>IF($G$2=נוסחאות!$N$2,נוסחאות!P22*$F$1,IF($G$2=נוסחאות!$R$2,נוסחאות!T22*$F$1,0))</f>
        <v>0</v>
      </c>
      <c r="G28" s="182">
        <f t="shared" si="8"/>
        <v>0</v>
      </c>
      <c r="I28" s="49">
        <f t="shared" ref="I28:I32" si="16">F28</f>
        <v>0</v>
      </c>
      <c r="J28" s="182">
        <f t="shared" si="10"/>
        <v>0</v>
      </c>
      <c r="K28" s="184" t="str">
        <f t="shared" ref="K28:K32" si="17">IF(J28=0,"",IF(OR(J28-G28&gt;0,J28-G28&lt;0), (J28-G28)/G28, ""))</f>
        <v/>
      </c>
      <c r="L28" s="64" t="str">
        <f t="shared" si="12"/>
        <v/>
      </c>
      <c r="M28" s="46"/>
      <c r="N28" s="46"/>
    </row>
    <row r="29" spans="1:14" x14ac:dyDescent="0.25">
      <c r="A29" s="148" t="s">
        <v>343</v>
      </c>
      <c r="B29" s="191"/>
      <c r="C29" s="254" t="s">
        <v>58</v>
      </c>
      <c r="D29" s="251">
        <f>IF($G$2=נוסחאות!$N$2,נוסחאות!N24,IF($G$2=נוסחאות!$R$2,נוסחאות!R24,0))</f>
        <v>0</v>
      </c>
      <c r="E29" s="182">
        <f>IF($G$2=נוסחאות!$N$2,נוסחאות!O24,IF($G$2=נוסחאות!$R$2,נוסחאות!S24,0))</f>
        <v>0</v>
      </c>
      <c r="F29" s="183">
        <f>IF($G$2=נוסחאות!$N$2,נוסחאות!P24*$F$1,IF($G$2=נוסחאות!$R$2,נוסחאות!T24*$F$1,0))</f>
        <v>0</v>
      </c>
      <c r="G29" s="182">
        <f t="shared" ref="G29:G33" si="18">F29*E29</f>
        <v>0</v>
      </c>
      <c r="I29" s="49">
        <f t="shared" si="16"/>
        <v>0</v>
      </c>
      <c r="J29" s="182">
        <f t="shared" si="10"/>
        <v>0</v>
      </c>
      <c r="K29" s="184" t="str">
        <f t="shared" si="17"/>
        <v/>
      </c>
      <c r="L29" s="64" t="str">
        <f t="shared" si="12"/>
        <v/>
      </c>
      <c r="M29" s="46"/>
      <c r="N29" s="46"/>
    </row>
    <row r="30" spans="1:14" x14ac:dyDescent="0.25">
      <c r="A30" s="148" t="s">
        <v>344</v>
      </c>
      <c r="B30" s="191"/>
      <c r="C30" s="254" t="s">
        <v>60</v>
      </c>
      <c r="D30" s="251">
        <f>IF($G$2=נוסחאות!$N$2,נוסחאות!N25,IF($G$2=נוסחאות!$R$2,נוסחאות!R25,0))</f>
        <v>0</v>
      </c>
      <c r="E30" s="182">
        <f>IF($G$2=נוסחאות!$N$2,נוסחאות!O25,IF($G$2=נוסחאות!$R$2,נוסחאות!S25,0))</f>
        <v>0</v>
      </c>
      <c r="F30" s="183">
        <f>IF($G$2=נוסחאות!$N$2,נוסחאות!P25*$F$1,IF($G$2=נוסחאות!$R$2,נוסחאות!T25*$F$1,0))</f>
        <v>0</v>
      </c>
      <c r="G30" s="182">
        <f t="shared" si="18"/>
        <v>0</v>
      </c>
      <c r="I30" s="49">
        <f t="shared" si="16"/>
        <v>0</v>
      </c>
      <c r="J30" s="182">
        <f t="shared" si="10"/>
        <v>0</v>
      </c>
      <c r="K30" s="184" t="str">
        <f t="shared" si="17"/>
        <v/>
      </c>
      <c r="L30" s="64" t="str">
        <f t="shared" si="12"/>
        <v/>
      </c>
      <c r="M30" s="46"/>
      <c r="N30" s="46"/>
    </row>
    <row r="31" spans="1:14" x14ac:dyDescent="0.25">
      <c r="A31" s="148" t="s">
        <v>345</v>
      </c>
      <c r="B31" s="191"/>
      <c r="C31" s="254" t="s">
        <v>62</v>
      </c>
      <c r="D31" s="251">
        <f>IF($G$2=נוסחאות!$N$2,נוסחאות!N26,IF($G$2=נוסחאות!$R$2,נוסחאות!R26,0))</f>
        <v>0</v>
      </c>
      <c r="E31" s="182">
        <f>IF($G$2=נוסחאות!$N$2,נוסחאות!O26,IF($G$2=נוסחאות!$R$2,נוסחאות!S26,0))</f>
        <v>0</v>
      </c>
      <c r="F31" s="183">
        <f>IF($G$2=נוסחאות!$N$2,נוסחאות!P26*$F$1,IF($G$2=נוסחאות!$R$2,נוסחאות!T26*$F$1,0))</f>
        <v>0</v>
      </c>
      <c r="G31" s="182">
        <f t="shared" ref="G31" si="19">F31*E31</f>
        <v>0</v>
      </c>
      <c r="I31" s="49">
        <f t="shared" ref="I31" si="20">F31</f>
        <v>0</v>
      </c>
      <c r="J31" s="182">
        <f t="shared" si="10"/>
        <v>0</v>
      </c>
      <c r="K31" s="184" t="str">
        <f t="shared" ref="K31" si="21">IF(J31=0,"",IF(OR(J31-G31&gt;0,J31-G31&lt;0), (J31-G31)/G31, ""))</f>
        <v/>
      </c>
      <c r="L31" s="64" t="str">
        <f t="shared" si="12"/>
        <v/>
      </c>
      <c r="M31" s="46"/>
      <c r="N31" s="46"/>
    </row>
    <row r="32" spans="1:14" x14ac:dyDescent="0.25">
      <c r="A32" s="148" t="s">
        <v>346</v>
      </c>
      <c r="B32" s="191"/>
      <c r="C32" s="254" t="s">
        <v>63</v>
      </c>
      <c r="D32" s="251">
        <f>IF($G$2=נוסחאות!$N$2,נוסחאות!N27,IF($G$2=נוסחאות!$R$2,נוסחאות!R27,0))</f>
        <v>0</v>
      </c>
      <c r="E32" s="182">
        <f>IF($G$2=נוסחאות!$N$2,נוסחאות!O27,IF($G$2=נוסחאות!$R$2,נוסחאות!S27,0))</f>
        <v>0</v>
      </c>
      <c r="F32" s="183">
        <f>IF($G$2=נוסחאות!$N$2,נוסחאות!P27*$F$1,IF($G$2=נוסחאות!$R$2,נוסחאות!T27*$F$1,0))</f>
        <v>0</v>
      </c>
      <c r="G32" s="182">
        <f t="shared" si="18"/>
        <v>0</v>
      </c>
      <c r="I32" s="49">
        <f t="shared" si="16"/>
        <v>0</v>
      </c>
      <c r="J32" s="182">
        <f t="shared" si="10"/>
        <v>0</v>
      </c>
      <c r="K32" s="184" t="str">
        <f t="shared" si="17"/>
        <v/>
      </c>
      <c r="L32" s="64" t="str">
        <f t="shared" si="12"/>
        <v/>
      </c>
      <c r="M32" s="46"/>
      <c r="N32" s="46"/>
    </row>
    <row r="33" spans="1:14" x14ac:dyDescent="0.25">
      <c r="A33" s="148" t="s">
        <v>347</v>
      </c>
      <c r="B33" s="255"/>
      <c r="C33" s="254" t="s">
        <v>57</v>
      </c>
      <c r="D33" s="251">
        <f>IF($G$2=נוסחאות!$N$2,נוסחאות!N23,IF($G$2=נוסחאות!$R$2,נוסחאות!R23,0))</f>
        <v>0</v>
      </c>
      <c r="E33" s="182">
        <f>IF($G$2=נוסחאות!$N$2,נוסחאות!O23,IF($G$2=נוסחאות!$R$2,נוסחאות!S23,0))</f>
        <v>0</v>
      </c>
      <c r="F33" s="183">
        <f>IF($G$2=נוסחאות!$N$2,נוסחאות!P23*$F$1,IF($G$2=נוסחאות!$R$2,נוסחאות!T23*$F$1,0))</f>
        <v>0</v>
      </c>
      <c r="G33" s="182">
        <f t="shared" si="18"/>
        <v>0</v>
      </c>
      <c r="I33" s="49">
        <f t="shared" ref="I33" si="22">F33</f>
        <v>0</v>
      </c>
      <c r="J33" s="182">
        <f t="shared" si="10"/>
        <v>0</v>
      </c>
      <c r="K33" s="184" t="str">
        <f t="shared" ref="K33" si="23">IF(J33=0,"",IF(OR(J33-G33&gt;0,J33-G33&lt;0), (J33-G33)/G33, ""))</f>
        <v/>
      </c>
      <c r="L33" s="64" t="str">
        <f t="shared" si="12"/>
        <v/>
      </c>
      <c r="M33" s="46"/>
      <c r="N33" s="46"/>
    </row>
    <row r="34" spans="1:14" ht="43.5" x14ac:dyDescent="0.25">
      <c r="A34" s="148" t="s">
        <v>348</v>
      </c>
      <c r="B34" s="255"/>
      <c r="C34" s="254" t="s">
        <v>225</v>
      </c>
      <c r="D34" s="251">
        <f>IF($G$2=נוסחאות!$N$2,נוסחאות!N29,IF($G$2=נוסחאות!$R$2,נוסחאות!R29,0))</f>
        <v>0</v>
      </c>
      <c r="E34" s="182">
        <f>IF($G$2=נוסחאות!$N$2,נוסחאות!O29,IF($G$2=נוסחאות!$R$2,נוסחאות!S29,0))</f>
        <v>0</v>
      </c>
      <c r="F34" s="183">
        <f>IF($G$2=נוסחאות!$N$2,נוסחאות!P29*$F$1,IF($G$2=נוסחאות!$R$2,נוסחאות!T29*$F$1,0))</f>
        <v>0</v>
      </c>
      <c r="G34" s="182">
        <f t="shared" si="8"/>
        <v>0</v>
      </c>
      <c r="I34" s="49">
        <f t="shared" ref="I34:I37" si="24">F34</f>
        <v>0</v>
      </c>
      <c r="J34" s="182">
        <f t="shared" si="10"/>
        <v>0</v>
      </c>
      <c r="K34" s="184" t="str">
        <f t="shared" ref="K34:K38" si="25">IF(J34=0,"",IF(OR(J34-G34&gt;0,J34-G34&lt;0), (J34-G34)/G34, ""))</f>
        <v/>
      </c>
      <c r="L34" s="64" t="str">
        <f t="shared" si="12"/>
        <v/>
      </c>
      <c r="M34" s="46"/>
      <c r="N34" s="46"/>
    </row>
    <row r="35" spans="1:14" x14ac:dyDescent="0.25">
      <c r="A35" s="148" t="s">
        <v>349</v>
      </c>
      <c r="B35" s="263"/>
      <c r="C35" s="254" t="s">
        <v>278</v>
      </c>
      <c r="D35" s="251">
        <f>IF($G$2=נוסחאות!$N$2,נוסחאות!N30,IF($G$2=נוסחאות!$R$2,נוסחאות!R30,0))</f>
        <v>0</v>
      </c>
      <c r="E35" s="182">
        <f>IF($G$2=נוסחאות!$N$2,נוסחאות!O30,IF($G$2=נוסחאות!$R$2,נוסחאות!S30,0))</f>
        <v>0</v>
      </c>
      <c r="F35" s="183">
        <f>IF($G$2=נוסחאות!$N$2,נוסחאות!P30*$F$1,IF($G$2=נוסחאות!$R$2,נוסחאות!T30*$F$1,0))</f>
        <v>0</v>
      </c>
      <c r="G35" s="182">
        <f t="shared" si="8"/>
        <v>0</v>
      </c>
      <c r="I35" s="49">
        <f t="shared" si="24"/>
        <v>0</v>
      </c>
      <c r="J35" s="182">
        <f t="shared" si="10"/>
        <v>0</v>
      </c>
      <c r="K35" s="184" t="str">
        <f t="shared" si="25"/>
        <v/>
      </c>
      <c r="L35" s="64" t="str">
        <f t="shared" si="12"/>
        <v/>
      </c>
      <c r="M35" s="46"/>
      <c r="N35" s="46"/>
    </row>
    <row r="36" spans="1:14" ht="30" x14ac:dyDescent="0.25">
      <c r="A36" s="148" t="s">
        <v>350</v>
      </c>
      <c r="B36" s="264" t="s">
        <v>229</v>
      </c>
      <c r="C36" s="254" t="s">
        <v>230</v>
      </c>
      <c r="D36" s="251">
        <f>IF($G$2=נוסחאות!$N$2,נוסחאות!N21,IF($G$2=נוסחאות!$R$2,נוסחאות!R21,0))</f>
        <v>0</v>
      </c>
      <c r="E36" s="182">
        <f>IF($G$2=נוסחאות!$N$2,נוסחאות!O21,IF($G$2=נוסחאות!$R$2,נוסחאות!S21,0))</f>
        <v>0</v>
      </c>
      <c r="F36" s="183">
        <f>IF($G$2=נוסחאות!$N$2,נוסחאות!P21*$F$1,IF($G$2=נוסחאות!$R$2,נוסחאות!T21*$F$1,0))</f>
        <v>0</v>
      </c>
      <c r="G36" s="265">
        <f t="shared" si="8"/>
        <v>0</v>
      </c>
      <c r="I36" s="49">
        <f t="shared" si="24"/>
        <v>0</v>
      </c>
      <c r="J36" s="182">
        <f t="shared" si="10"/>
        <v>0</v>
      </c>
      <c r="K36" s="184" t="str">
        <f t="shared" si="25"/>
        <v/>
      </c>
      <c r="L36" s="64" t="str">
        <f t="shared" si="12"/>
        <v/>
      </c>
      <c r="M36" s="46"/>
      <c r="N36" s="46"/>
    </row>
    <row r="37" spans="1:14" x14ac:dyDescent="0.25">
      <c r="A37" s="148" t="s">
        <v>351</v>
      </c>
      <c r="B37" s="263"/>
      <c r="C37" s="254" t="s">
        <v>352</v>
      </c>
      <c r="D37" s="251">
        <f>IF($G$2=נוסחאות!$N$2,נוסחאות!N34,IF($G$2=נוסחאות!$R$2,נוסחאות!R34,0))</f>
        <v>0</v>
      </c>
      <c r="E37" s="182">
        <f>IF($G$2=נוסחאות!$N$2,נוסחאות!O34,IF($G$2=נוסחאות!$R$2,נוסחאות!S34,0))</f>
        <v>0</v>
      </c>
      <c r="F37" s="183">
        <f>IF($G$2=נוסחאות!$N$2,נוסחאות!P34*$F$1,IF($G$2=נוסחאות!$R$2,נוסחאות!T34*$F$1,0))</f>
        <v>0</v>
      </c>
      <c r="G37" s="265">
        <f t="shared" si="8"/>
        <v>0</v>
      </c>
      <c r="I37" s="49">
        <f t="shared" si="24"/>
        <v>0</v>
      </c>
      <c r="J37" s="182">
        <f t="shared" si="10"/>
        <v>0</v>
      </c>
      <c r="K37" s="184" t="str">
        <f t="shared" si="25"/>
        <v/>
      </c>
      <c r="L37" s="64" t="str">
        <f t="shared" si="12"/>
        <v/>
      </c>
      <c r="M37" s="46"/>
      <c r="N37" s="46"/>
    </row>
    <row r="38" spans="1:14" s="239" customFormat="1" ht="15.75" customHeight="1" x14ac:dyDescent="0.25">
      <c r="A38" s="266" t="s">
        <v>353</v>
      </c>
      <c r="B38" s="206" t="s">
        <v>354</v>
      </c>
      <c r="C38" s="200"/>
      <c r="D38" s="200"/>
      <c r="E38" s="201"/>
      <c r="F38" s="202"/>
      <c r="G38" s="257">
        <f>SUM(G22:G37)</f>
        <v>0</v>
      </c>
      <c r="I38" s="258"/>
      <c r="J38" s="257">
        <f>SUM(J22:J37)</f>
        <v>0</v>
      </c>
      <c r="K38" s="184" t="str">
        <f t="shared" si="25"/>
        <v/>
      </c>
      <c r="L38" s="259" t="str">
        <f>B38</f>
        <v>סה"כ סלון מרכזי כולל מע"מ</v>
      </c>
      <c r="M38" s="259"/>
      <c r="N38" s="148"/>
    </row>
    <row r="39" spans="1:14" x14ac:dyDescent="0.25">
      <c r="A39" s="245">
        <v>3.3</v>
      </c>
      <c r="B39" s="200"/>
      <c r="C39" s="200" t="s">
        <v>355</v>
      </c>
      <c r="D39" s="200"/>
      <c r="E39" s="201"/>
      <c r="F39" s="294"/>
      <c r="G39" s="202"/>
      <c r="I39" s="267"/>
      <c r="J39" s="200" t="str">
        <f>C39</f>
        <v xml:space="preserve">ציוד עזרה ראשונה </v>
      </c>
      <c r="K39" s="200"/>
      <c r="L39" s="200"/>
      <c r="M39" s="200"/>
      <c r="N39" s="202"/>
    </row>
    <row r="40" spans="1:14" ht="30" x14ac:dyDescent="0.25">
      <c r="A40" s="148" t="s">
        <v>356</v>
      </c>
      <c r="B40" s="244" t="s">
        <v>229</v>
      </c>
      <c r="C40" s="254" t="s">
        <v>357</v>
      </c>
      <c r="D40" s="268">
        <f>IF($G$2=נוסחאות!$N$2,נוסחאות!N45,IF($G$2=נוסחאות!$R$2,נוסחאות!R45,0))</f>
        <v>0</v>
      </c>
      <c r="E40" s="265">
        <f>IF($G$2=נוסחאות!$N$2,נוסחאות!O45,IF($G$2=נוסחאות!$R$2,נוסחאות!S45,0))</f>
        <v>0</v>
      </c>
      <c r="F40" s="295">
        <f>IF($G$2=נוסחאות!$N$2,נוסחאות!P45*$F$1,IF($G$2=נוסחאות!$R$2,נוסחאות!T45*$F$1,0))</f>
        <v>0</v>
      </c>
      <c r="G40" s="265">
        <f>F40*E40</f>
        <v>0</v>
      </c>
      <c r="I40" s="49">
        <f t="shared" ref="I40:I42" si="26">F40</f>
        <v>0</v>
      </c>
      <c r="J40" s="182">
        <f t="shared" ref="J40:J42" si="27">IF(G40=0,0,I40*E40)</f>
        <v>0</v>
      </c>
      <c r="K40" s="184" t="str">
        <f t="shared" ref="K40:K42" si="28">IF(J40=0,"",IF(OR(J40-G40&gt;0,J40-G40&lt;0), (J40-G40)/G40, ""))</f>
        <v/>
      </c>
      <c r="L40" s="64" t="str">
        <f t="shared" ref="L40:L42" si="29">IF(I40&gt;F40,"יש להסביר חריגה","")</f>
        <v/>
      </c>
      <c r="M40" s="46"/>
      <c r="N40" s="46"/>
    </row>
    <row r="41" spans="1:14" ht="30" x14ac:dyDescent="0.25">
      <c r="A41" s="148" t="s">
        <v>358</v>
      </c>
      <c r="B41" s="264" t="s">
        <v>224</v>
      </c>
      <c r="C41" s="254" t="s">
        <v>95</v>
      </c>
      <c r="D41" s="268">
        <f>IF($G$2=נוסחאות!$N$2,נוסחאות!N46,IF($G$2=נוסחאות!$R$2,נוסחאות!R46,0))</f>
        <v>0</v>
      </c>
      <c r="E41" s="265">
        <f>IF($G$2=נוסחאות!$N$2,נוסחאות!O46,IF($G$2=נוסחאות!$R$2,נוסחאות!S46,0))</f>
        <v>0</v>
      </c>
      <c r="F41" s="295">
        <f>IF($G$2=נוסחאות!$N$2,נוסחאות!P46*$F$1,IF($G$2=נוסחאות!$R$2,נוסחאות!T46*$F$1,0))</f>
        <v>0</v>
      </c>
      <c r="G41" s="265">
        <f>F41*E41</f>
        <v>0</v>
      </c>
      <c r="I41" s="49">
        <f t="shared" si="26"/>
        <v>0</v>
      </c>
      <c r="J41" s="182">
        <f t="shared" si="27"/>
        <v>0</v>
      </c>
      <c r="K41" s="184"/>
      <c r="L41" s="64" t="str">
        <f t="shared" si="29"/>
        <v/>
      </c>
      <c r="M41" s="46"/>
      <c r="N41" s="46"/>
    </row>
    <row r="42" spans="1:14" x14ac:dyDescent="0.25">
      <c r="A42" s="148" t="s">
        <v>359</v>
      </c>
      <c r="B42" s="264" t="s">
        <v>242</v>
      </c>
      <c r="C42" s="254" t="s">
        <v>360</v>
      </c>
      <c r="D42" s="268">
        <f>IF($G$2=נוסחאות!$N$2,נוסחאות!N52,IF($G$2=נוסחאות!$R$2,נוסחאות!R52,0))</f>
        <v>0</v>
      </c>
      <c r="E42" s="265">
        <f>IF($G$2=נוסחאות!$N$2,נוסחאות!O52,IF($G$2=נוסחאות!$R$2,נוסחאות!S52,0))</f>
        <v>0</v>
      </c>
      <c r="F42" s="295">
        <f>IF($G$2=נוסחאות!$N$2,נוסחאות!P52*$F$1,IF($G$2=נוסחאות!$R$2,נוסחאות!T52*$F$1,0))</f>
        <v>0</v>
      </c>
      <c r="G42" s="265">
        <f>F42*E42</f>
        <v>0</v>
      </c>
      <c r="I42" s="49">
        <f t="shared" si="26"/>
        <v>0</v>
      </c>
      <c r="J42" s="182">
        <f t="shared" si="27"/>
        <v>0</v>
      </c>
      <c r="K42" s="184" t="str">
        <f t="shared" si="28"/>
        <v/>
      </c>
      <c r="L42" s="64" t="str">
        <f t="shared" si="29"/>
        <v/>
      </c>
      <c r="M42" s="46"/>
      <c r="N42" s="46"/>
    </row>
    <row r="43" spans="1:14" x14ac:dyDescent="0.25">
      <c r="A43" s="148" t="s">
        <v>361</v>
      </c>
      <c r="B43" s="200" t="s">
        <v>362</v>
      </c>
      <c r="C43" s="200"/>
      <c r="D43" s="202"/>
      <c r="E43" s="296"/>
      <c r="F43" s="259"/>
      <c r="G43" s="257">
        <f>SUM(G40:G42)</f>
        <v>0</v>
      </c>
      <c r="I43" s="258"/>
      <c r="J43" s="257">
        <f>SUM(J40:J42)</f>
        <v>0</v>
      </c>
      <c r="K43" s="205" t="str">
        <f t="shared" ref="K43:K61" si="30">IF(J43=0,"",IF(OR(J43-G43&gt;0,J43-G43&lt;0), (J43-G43)/G43, ""))</f>
        <v/>
      </c>
      <c r="L43" s="259" t="str">
        <f>B43</f>
        <v>סה"כ ציוד עזרה ראשונה  כולל מע"מ</v>
      </c>
      <c r="M43" s="259"/>
      <c r="N43" s="148"/>
    </row>
    <row r="44" spans="1:14" x14ac:dyDescent="0.25">
      <c r="A44" s="245">
        <v>3.4</v>
      </c>
      <c r="B44" s="200"/>
      <c r="C44" s="246" t="s">
        <v>363</v>
      </c>
      <c r="D44" s="246"/>
      <c r="E44" s="247"/>
      <c r="F44" s="292"/>
      <c r="G44" s="248"/>
      <c r="I44" s="261"/>
      <c r="J44" s="246" t="str">
        <f>C44</f>
        <v>ציוד כללי</v>
      </c>
      <c r="K44" s="246"/>
      <c r="L44" s="246"/>
      <c r="M44" s="246"/>
      <c r="N44" s="248"/>
    </row>
    <row r="45" spans="1:14" x14ac:dyDescent="0.25">
      <c r="A45" s="244" t="s">
        <v>364</v>
      </c>
      <c r="B45" s="249" t="s">
        <v>242</v>
      </c>
      <c r="C45" s="254" t="s">
        <v>365</v>
      </c>
      <c r="D45" s="268">
        <f>IF($G$2=נוסחאות!$N$2,נוסחאות!N42,IF($G$2=נוסחאות!$R$2,נוסחאות!R42,0))</f>
        <v>0</v>
      </c>
      <c r="E45" s="265">
        <f>IF($G$2=נוסחאות!$N$2,נוסחאות!O42,IF($G$2=נוסחאות!$R$2,נוסחאות!S42,0))</f>
        <v>0</v>
      </c>
      <c r="F45" s="295">
        <f>IF($G$2=נוסחאות!$N$2,נוסחאות!P42*$F$1,IF($G$2=נוסחאות!$R$2,נוסחאות!T42*$F$1,0))</f>
        <v>0</v>
      </c>
      <c r="G45" s="265">
        <f t="shared" ref="G45:G56" si="31">F45*E45</f>
        <v>0</v>
      </c>
      <c r="I45" s="49">
        <f t="shared" ref="I45:I56" si="32">F45</f>
        <v>0</v>
      </c>
      <c r="J45" s="182">
        <f t="shared" ref="J45:J56" si="33">IF(G45=0,0,I45*E45)</f>
        <v>0</v>
      </c>
      <c r="K45" s="184" t="str">
        <f t="shared" ref="K45" si="34">IF(J45=0,"",IF(OR(J45-G45&gt;0,J45-G45&lt;0), (J45-G45)/G45, ""))</f>
        <v/>
      </c>
      <c r="L45" s="64" t="str">
        <f t="shared" ref="L45:L56" si="35">IF(I45&gt;F45,"יש להסביר חריגה","")</f>
        <v/>
      </c>
      <c r="M45" s="46"/>
      <c r="N45" s="46"/>
    </row>
    <row r="46" spans="1:14" x14ac:dyDescent="0.25">
      <c r="A46" s="244" t="s">
        <v>366</v>
      </c>
      <c r="B46" s="253"/>
      <c r="C46" s="254" t="s">
        <v>367</v>
      </c>
      <c r="D46" s="268">
        <f>IF($G$2=נוסחאות!$N$2,נוסחאות!N39,IF($G$2=נוסחאות!$R$2,נוסחאות!R39,0))</f>
        <v>0</v>
      </c>
      <c r="E46" s="265">
        <f>IF($G$2=נוסחאות!$N$2,נוסחאות!O39,IF($G$2=נוסחאות!$R$2,נוסחאות!S39,0))</f>
        <v>0</v>
      </c>
      <c r="F46" s="295">
        <f>IF($G$2=נוסחאות!$N$2,נוסחאות!P39*$F$1,IF($G$2=נוסחאות!$R$2,נוסחאות!T39*$F$1,0))</f>
        <v>0</v>
      </c>
      <c r="G46" s="265">
        <f t="shared" si="31"/>
        <v>0</v>
      </c>
      <c r="I46" s="49">
        <f t="shared" si="32"/>
        <v>0</v>
      </c>
      <c r="J46" s="182">
        <f t="shared" si="33"/>
        <v>0</v>
      </c>
      <c r="K46" s="184" t="str">
        <f t="shared" ref="K46:K56" si="36">IF(J46=0,"",IF(OR(J46-G46&gt;0,J46-G46&lt;0), (J46-G46)/G46, ""))</f>
        <v/>
      </c>
      <c r="L46" s="64" t="str">
        <f t="shared" si="35"/>
        <v/>
      </c>
      <c r="M46" s="46"/>
      <c r="N46" s="46"/>
    </row>
    <row r="47" spans="1:14" x14ac:dyDescent="0.25">
      <c r="A47" s="244" t="s">
        <v>368</v>
      </c>
      <c r="B47" s="253"/>
      <c r="C47" s="254" t="s">
        <v>85</v>
      </c>
      <c r="D47" s="268">
        <f>IF($G$2=נוסחאות!$N$2,נוסחאות!N40,IF($G$2=נוסחאות!$R$2,נוסחאות!R40,0))</f>
        <v>0</v>
      </c>
      <c r="E47" s="265">
        <f>IF($G$2=נוסחאות!$N$2,נוסחאות!O40,IF($G$2=נוסחאות!$R$2,נוסחאות!S40,0))</f>
        <v>0</v>
      </c>
      <c r="F47" s="295">
        <f>IF($G$2=נוסחאות!$N$2,נוסחאות!P40*$F$1,IF($G$2=נוסחאות!$R$2,נוסחאות!T40*$F$1,0))</f>
        <v>0</v>
      </c>
      <c r="G47" s="265">
        <f t="shared" ref="G47" si="37">F47*E47</f>
        <v>0</v>
      </c>
      <c r="I47" s="49">
        <f t="shared" si="32"/>
        <v>0</v>
      </c>
      <c r="J47" s="182">
        <f t="shared" si="33"/>
        <v>0</v>
      </c>
      <c r="K47" s="184"/>
      <c r="L47" s="64" t="str">
        <f t="shared" si="35"/>
        <v/>
      </c>
      <c r="M47" s="46"/>
      <c r="N47" s="46"/>
    </row>
    <row r="48" spans="1:14" x14ac:dyDescent="0.25">
      <c r="A48" s="244" t="s">
        <v>369</v>
      </c>
      <c r="B48" s="253"/>
      <c r="C48" s="254" t="s">
        <v>86</v>
      </c>
      <c r="D48" s="268">
        <f>IF($G$2=נוסחאות!$N$2,נוסחאות!N41,IF($G$2=נוסחאות!$R$2,נוסחאות!R41,0))</f>
        <v>0</v>
      </c>
      <c r="E48" s="265">
        <f>IF($G$2=נוסחאות!$N$2,נוסחאות!O41,IF($G$2=נוסחאות!$R$2,נוסחאות!S41,0))</f>
        <v>0</v>
      </c>
      <c r="F48" s="295">
        <f>IF($G$2=נוסחאות!$N$2,נוסחאות!P41*$F$1,IF($G$2=נוסחאות!$R$2,נוסחאות!T41*$F$1,0))</f>
        <v>0</v>
      </c>
      <c r="G48" s="265">
        <f t="shared" si="31"/>
        <v>0</v>
      </c>
      <c r="I48" s="49">
        <f t="shared" si="32"/>
        <v>0</v>
      </c>
      <c r="J48" s="182">
        <f t="shared" si="33"/>
        <v>0</v>
      </c>
      <c r="K48" s="184" t="str">
        <f t="shared" si="36"/>
        <v/>
      </c>
      <c r="L48" s="64" t="str">
        <f t="shared" si="35"/>
        <v/>
      </c>
      <c r="M48" s="46"/>
      <c r="N48" s="46"/>
    </row>
    <row r="49" spans="1:14" x14ac:dyDescent="0.25">
      <c r="A49" s="244" t="s">
        <v>370</v>
      </c>
      <c r="B49" s="253"/>
      <c r="C49" s="254" t="s">
        <v>82</v>
      </c>
      <c r="D49" s="268">
        <f>IF($G$2=נוסחאות!$N$2,נוסחאות!N38,IF($G$2=נוסחאות!$R$2,נוסחאות!R38,0))</f>
        <v>0</v>
      </c>
      <c r="E49" s="265">
        <f>IF($G$2=נוסחאות!$N$2,נוסחאות!O38,IF($G$2=נוסחאות!$R$2,נוסחאות!S38,0))</f>
        <v>0</v>
      </c>
      <c r="F49" s="295">
        <f>IF($G$2=נוסחאות!$N$2,נוסחאות!P38*$F$1,IF($G$2=נוסחאות!$R$2,נוסחאות!T38*$F$1,0))</f>
        <v>0</v>
      </c>
      <c r="G49" s="265">
        <f t="shared" si="31"/>
        <v>0</v>
      </c>
      <c r="I49" s="49">
        <f t="shared" si="32"/>
        <v>0</v>
      </c>
      <c r="J49" s="182">
        <f t="shared" si="33"/>
        <v>0</v>
      </c>
      <c r="K49" s="184"/>
      <c r="L49" s="64" t="str">
        <f t="shared" si="35"/>
        <v/>
      </c>
      <c r="M49" s="46"/>
      <c r="N49" s="46"/>
    </row>
    <row r="50" spans="1:14" x14ac:dyDescent="0.25">
      <c r="A50" s="244" t="s">
        <v>371</v>
      </c>
      <c r="B50" s="269"/>
      <c r="C50" s="254" t="s">
        <v>98</v>
      </c>
      <c r="D50" s="268">
        <f>IF($G$2=נוסחאות!$N$2,נוסחאות!N48,IF($G$2=נוסחאות!$R$2,נוסחאות!R48,0))</f>
        <v>0</v>
      </c>
      <c r="E50" s="265">
        <f>IF($G$2=נוסחאות!$N$2,נוסחאות!O48,IF($G$2=נוסחאות!$R$2,נוסחאות!S48,0))</f>
        <v>0</v>
      </c>
      <c r="F50" s="295">
        <f>IF($G$2=נוסחאות!$N$2,נוסחאות!P48*$F$1,IF($G$2=נוסחאות!$R$2,נוסחאות!T48*$F$1,0))</f>
        <v>0</v>
      </c>
      <c r="G50" s="265">
        <f t="shared" si="31"/>
        <v>0</v>
      </c>
      <c r="I50" s="49">
        <f t="shared" si="32"/>
        <v>0</v>
      </c>
      <c r="J50" s="182">
        <f t="shared" si="33"/>
        <v>0</v>
      </c>
      <c r="K50" s="184" t="str">
        <f t="shared" si="36"/>
        <v/>
      </c>
      <c r="L50" s="64" t="str">
        <f t="shared" si="35"/>
        <v/>
      </c>
      <c r="M50" s="46"/>
      <c r="N50" s="46"/>
    </row>
    <row r="51" spans="1:14" ht="30" x14ac:dyDescent="0.25">
      <c r="A51" s="244" t="s">
        <v>372</v>
      </c>
      <c r="B51" s="270" t="s">
        <v>229</v>
      </c>
      <c r="C51" s="254" t="s">
        <v>373</v>
      </c>
      <c r="D51" s="268">
        <f>IF($G$2=נוסחאות!$N$2,נוסחאות!N43,IF($G$2=נוסחאות!$R$2,נוסחאות!R43,0))</f>
        <v>0</v>
      </c>
      <c r="E51" s="265">
        <f>IF($G$2=נוסחאות!$N$2,נוסחאות!O43,IF($G$2=נוסחאות!$R$2,נוסחאות!S43,0))</f>
        <v>0</v>
      </c>
      <c r="F51" s="295">
        <f>IF($G$2=נוסחאות!$N$2,נוסחאות!P43*$F$1,IF($G$2=נוסחאות!$R$2,נוסחאות!T43*$F$1,0))</f>
        <v>0</v>
      </c>
      <c r="G51" s="265">
        <f t="shared" si="31"/>
        <v>0</v>
      </c>
      <c r="I51" s="49">
        <f t="shared" si="32"/>
        <v>0</v>
      </c>
      <c r="J51" s="182">
        <f t="shared" si="33"/>
        <v>0</v>
      </c>
      <c r="K51" s="184" t="str">
        <f t="shared" si="36"/>
        <v/>
      </c>
      <c r="L51" s="64" t="str">
        <f t="shared" si="35"/>
        <v/>
      </c>
      <c r="M51" s="46"/>
      <c r="N51" s="46"/>
    </row>
    <row r="52" spans="1:14" x14ac:dyDescent="0.25">
      <c r="A52" s="244" t="s">
        <v>374</v>
      </c>
      <c r="B52" s="253"/>
      <c r="C52" s="254" t="s">
        <v>93</v>
      </c>
      <c r="D52" s="268">
        <f>IF($G$2=נוסחאות!$N$2,נוסחאות!N44,IF($G$2=נוסחאות!$R$2,נוסחאות!R44,0))</f>
        <v>0</v>
      </c>
      <c r="E52" s="265">
        <f>IF($G$2=נוסחאות!$N$2,נוסחאות!O44,IF($G$2=נוסחאות!$R$2,נוסחאות!S44,0))</f>
        <v>0</v>
      </c>
      <c r="F52" s="295">
        <f>IF($G$2=נוסחאות!$N$2,נוסחאות!P44*$F$1,IF($G$2=נוסחאות!$R$2,נוסחאות!T44*$F$1,0))</f>
        <v>0</v>
      </c>
      <c r="G52" s="265">
        <f t="shared" si="31"/>
        <v>0</v>
      </c>
      <c r="I52" s="49">
        <f t="shared" si="32"/>
        <v>0</v>
      </c>
      <c r="J52" s="182">
        <f t="shared" si="33"/>
        <v>0</v>
      </c>
      <c r="K52" s="184" t="str">
        <f t="shared" si="36"/>
        <v/>
      </c>
      <c r="L52" s="64" t="str">
        <f t="shared" si="35"/>
        <v/>
      </c>
      <c r="M52" s="46"/>
      <c r="N52" s="46"/>
    </row>
    <row r="53" spans="1:14" x14ac:dyDescent="0.25">
      <c r="A53" s="244" t="s">
        <v>375</v>
      </c>
      <c r="B53" s="253"/>
      <c r="C53" s="254" t="s">
        <v>101</v>
      </c>
      <c r="D53" s="268">
        <f>IF($G$2=נוסחאות!$N$2,נוסחאות!N49,IF($G$2=נוסחאות!$R$2,נוסחאות!R49,0))</f>
        <v>0</v>
      </c>
      <c r="E53" s="265">
        <f>IF($G$2=נוסחאות!$N$2,נוסחאות!O49,IF($G$2=נוסחאות!$R$2,נוסחאות!S49,0))</f>
        <v>0</v>
      </c>
      <c r="F53" s="295">
        <f>IF($G$2=נוסחאות!$N$2,נוסחאות!P49*$F$1,IF($G$2=נוסחאות!$R$2,נוסחאות!T49*$F$1,0))</f>
        <v>0</v>
      </c>
      <c r="G53" s="265">
        <f t="shared" si="31"/>
        <v>0</v>
      </c>
      <c r="I53" s="49">
        <f t="shared" si="32"/>
        <v>0</v>
      </c>
      <c r="J53" s="182">
        <f t="shared" si="33"/>
        <v>0</v>
      </c>
      <c r="K53" s="184"/>
      <c r="L53" s="64" t="str">
        <f t="shared" si="35"/>
        <v/>
      </c>
      <c r="M53" s="46"/>
      <c r="N53" s="46"/>
    </row>
    <row r="54" spans="1:14" x14ac:dyDescent="0.25">
      <c r="A54" s="244" t="s">
        <v>376</v>
      </c>
      <c r="B54" s="253"/>
      <c r="C54" s="254" t="s">
        <v>300</v>
      </c>
      <c r="D54" s="268">
        <f>IF($G$2=נוסחאות!$N$2,נוסחאות!N47,IF($G$2=נוסחאות!$R$2,נוסחאות!R47,0))</f>
        <v>0</v>
      </c>
      <c r="E54" s="265">
        <f>IF($G$2=נוסחאות!$N$2,נוסחאות!O47,IF($G$2=נוסחאות!$R$2,נוסחאות!S47,0))</f>
        <v>0</v>
      </c>
      <c r="F54" s="295">
        <f>IF($G$2=נוסחאות!$N$2,נוסחאות!P47*$F$1,IF($G$2=נוסחאות!$R$2,נוסחאות!T47*$F$1,0))</f>
        <v>0</v>
      </c>
      <c r="G54" s="265">
        <f t="shared" si="31"/>
        <v>0</v>
      </c>
      <c r="I54" s="49">
        <f t="shared" si="32"/>
        <v>0</v>
      </c>
      <c r="J54" s="182">
        <f t="shared" si="33"/>
        <v>0</v>
      </c>
      <c r="K54" s="184" t="str">
        <f t="shared" si="36"/>
        <v/>
      </c>
      <c r="L54" s="64" t="str">
        <f t="shared" si="35"/>
        <v/>
      </c>
      <c r="M54" s="46"/>
      <c r="N54" s="46"/>
    </row>
    <row r="55" spans="1:14" x14ac:dyDescent="0.25">
      <c r="A55" s="244" t="s">
        <v>377</v>
      </c>
      <c r="B55" s="269"/>
      <c r="C55" s="254" t="s">
        <v>103</v>
      </c>
      <c r="D55" s="268">
        <f>IF($G$2=נוסחאות!$N$2,נוסחאות!N50,IF($G$2=נוסחאות!$R$2,נוסחאות!R50,0))</f>
        <v>0</v>
      </c>
      <c r="E55" s="265">
        <f>IF($G$2=נוסחאות!$N$2,נוסחאות!O50,IF($G$2=נוסחאות!$R$2,נוסחאות!S50,0))</f>
        <v>0</v>
      </c>
      <c r="F55" s="295">
        <f>IF($G$2=נוסחאות!$N$2,נוסחאות!P50*$F$1,IF($G$2=נוסחאות!$R$2,נוסחאות!T50*$F$1,0))</f>
        <v>0</v>
      </c>
      <c r="G55" s="265">
        <f t="shared" si="31"/>
        <v>0</v>
      </c>
      <c r="I55" s="49">
        <f t="shared" si="32"/>
        <v>0</v>
      </c>
      <c r="J55" s="182">
        <f t="shared" si="33"/>
        <v>0</v>
      </c>
      <c r="K55" s="184" t="str">
        <f t="shared" si="36"/>
        <v/>
      </c>
      <c r="L55" s="64" t="str">
        <f t="shared" si="35"/>
        <v/>
      </c>
      <c r="M55" s="46"/>
      <c r="N55" s="46"/>
    </row>
    <row r="56" spans="1:14" ht="30" x14ac:dyDescent="0.25">
      <c r="A56" s="244" t="s">
        <v>378</v>
      </c>
      <c r="B56" s="271" t="s">
        <v>303</v>
      </c>
      <c r="C56" s="254" t="s">
        <v>104</v>
      </c>
      <c r="D56" s="268">
        <f>IF($G$2=נוסחאות!$N$2,נוסחאות!N51,IF($G$2=נוסחאות!$R$2,נוסחאות!R51,0))</f>
        <v>0</v>
      </c>
      <c r="E56" s="265">
        <f>IF($G$2=נוסחאות!$N$2,נוסחאות!O51,IF($G$2=נוסחאות!$R$2,נוסחאות!S51,0))</f>
        <v>0</v>
      </c>
      <c r="F56" s="295">
        <f>IF($G$2=נוסחאות!$N$2,נוסחאות!P51*$F$1,IF($G$2=נוסחאות!$R$2,נוסחאות!T51*$F$1,0))</f>
        <v>0</v>
      </c>
      <c r="G56" s="265">
        <f t="shared" si="31"/>
        <v>0</v>
      </c>
      <c r="I56" s="49">
        <f t="shared" si="32"/>
        <v>0</v>
      </c>
      <c r="J56" s="182">
        <f t="shared" si="33"/>
        <v>0</v>
      </c>
      <c r="K56" s="184" t="str">
        <f t="shared" si="36"/>
        <v/>
      </c>
      <c r="L56" s="64" t="str">
        <f t="shared" si="35"/>
        <v/>
      </c>
      <c r="M56" s="46"/>
      <c r="N56" s="46"/>
    </row>
    <row r="57" spans="1:14" s="239" customFormat="1" x14ac:dyDescent="0.25">
      <c r="A57" s="254" t="s">
        <v>379</v>
      </c>
      <c r="B57" s="206" t="s">
        <v>305</v>
      </c>
      <c r="C57" s="200"/>
      <c r="D57" s="200"/>
      <c r="E57" s="201"/>
      <c r="F57" s="202"/>
      <c r="G57" s="257">
        <f>SUM(G45:G56)</f>
        <v>0</v>
      </c>
      <c r="I57" s="258"/>
      <c r="J57" s="257">
        <f>SUM(J45:J56)</f>
        <v>0</v>
      </c>
      <c r="K57" s="184" t="str">
        <f t="shared" ref="K57" si="38">IF(J57=0,"",IF(OR(J57-G57&gt;0,J57-G57&lt;0), (J57-G57)/G57, ""))</f>
        <v/>
      </c>
      <c r="L57" s="259" t="str">
        <f>B57</f>
        <v>סה"כ ציוד כללי כולל מע"מ</v>
      </c>
      <c r="M57" s="259"/>
      <c r="N57" s="148"/>
    </row>
    <row r="58" spans="1:14" s="239" customFormat="1" ht="14.25" x14ac:dyDescent="0.2">
      <c r="A58" s="245">
        <v>3.5</v>
      </c>
      <c r="B58" s="200"/>
      <c r="C58" s="246" t="s">
        <v>306</v>
      </c>
      <c r="D58" s="246"/>
      <c r="E58" s="247"/>
      <c r="F58" s="292"/>
      <c r="G58" s="248"/>
      <c r="I58" s="267"/>
      <c r="J58" s="200" t="str">
        <f>C58</f>
        <v>ציוד חצר/ מרפסת</v>
      </c>
      <c r="K58" s="200"/>
      <c r="L58" s="200"/>
      <c r="M58" s="200"/>
      <c r="N58" s="202"/>
    </row>
    <row r="59" spans="1:14" x14ac:dyDescent="0.25">
      <c r="A59" s="244" t="s">
        <v>380</v>
      </c>
      <c r="B59" s="190" t="s">
        <v>214</v>
      </c>
      <c r="C59" s="254" t="s">
        <v>112</v>
      </c>
      <c r="D59" s="268">
        <f>IF($G$2=נוסחאות!$N$2,נוסחאות!N56,IF($G$2=נוסחאות!$R$2,נוסחאות!R56,0))</f>
        <v>0</v>
      </c>
      <c r="E59" s="265">
        <f>IF($G$2=נוסחאות!$N$2,נוסחאות!O56,IF($G$2=נוסחאות!$R$2,נוסחאות!S56,0))</f>
        <v>0</v>
      </c>
      <c r="F59" s="295">
        <f>IF($G$2=נוסחאות!$N$2,נוסחאות!P56,IF($G$2=נוסחאות!$R$2,נוסחאות!T56,0))</f>
        <v>0</v>
      </c>
      <c r="G59" s="265">
        <f>F59*E59</f>
        <v>0</v>
      </c>
      <c r="H59" s="239"/>
      <c r="I59" s="56">
        <f>IF('שאלון למילוי הגוף-חובה'!$D$43="כן",F59,0)</f>
        <v>0</v>
      </c>
      <c r="J59" s="203">
        <f>IF('שאלון למילוי הגוף-חובה'!$D$43="כן",E59*I59,0)</f>
        <v>0</v>
      </c>
      <c r="K59" s="184" t="str">
        <f t="shared" ref="K59:K60" si="39">IF(J59=0,"",IF(OR(J59-G59&gt;0,J59-G59&lt;0), (J59-G59)/G59, ""))</f>
        <v/>
      </c>
      <c r="L59" s="64" t="str">
        <f t="shared" ref="L59:L60" si="40">IF(I59&gt;F59,"יש להסביר חריגה","")</f>
        <v/>
      </c>
      <c r="M59" s="46"/>
      <c r="N59" s="46" t="str">
        <f>IF('שאלון למילוי הגוף-חובה'!$D$43="לא","אין חצר","")</f>
        <v/>
      </c>
    </row>
    <row r="60" spans="1:14" x14ac:dyDescent="0.25">
      <c r="A60" s="244" t="s">
        <v>381</v>
      </c>
      <c r="B60" s="192"/>
      <c r="C60" s="254" t="s">
        <v>113</v>
      </c>
      <c r="D60" s="268">
        <f>IF($G$2=נוסחאות!$N$2,נוסחאות!N57,IF($G$2=נוסחאות!$R$2,נוסחאות!R57,0))</f>
        <v>0</v>
      </c>
      <c r="E60" s="265">
        <f>IF($G$2=נוסחאות!$N$2,נוסחאות!O57,IF($G$2=נוסחאות!$R$2,נוסחאות!S57,0))</f>
        <v>0</v>
      </c>
      <c r="F60" s="295">
        <f>IF($G$2=נוסחאות!$N$2,נוסחאות!P57,IF($G$2=נוסחאות!$R$2,נוסחאות!T57,0))</f>
        <v>0</v>
      </c>
      <c r="G60" s="265">
        <f>F60*E60</f>
        <v>0</v>
      </c>
      <c r="H60" s="239"/>
      <c r="I60" s="56">
        <f>IF('שאלון למילוי הגוף-חובה'!$D$43="כן",F60,0)</f>
        <v>0</v>
      </c>
      <c r="J60" s="203">
        <f>IF('שאלון למילוי הגוף-חובה'!$D$43="כן",E60*I60,0)</f>
        <v>0</v>
      </c>
      <c r="K60" s="184" t="str">
        <f t="shared" si="39"/>
        <v/>
      </c>
      <c r="L60" s="64" t="str">
        <f t="shared" si="40"/>
        <v/>
      </c>
      <c r="M60" s="46"/>
      <c r="N60" s="46" t="str">
        <f>IF('שאלון למילוי הגוף-חובה'!$D$43="לא","אין חצר","")</f>
        <v/>
      </c>
    </row>
    <row r="61" spans="1:14" x14ac:dyDescent="0.25">
      <c r="A61" s="254" t="s">
        <v>382</v>
      </c>
      <c r="B61" s="206" t="s">
        <v>383</v>
      </c>
      <c r="C61" s="200"/>
      <c r="D61" s="200"/>
      <c r="E61" s="201"/>
      <c r="F61" s="202"/>
      <c r="G61" s="257">
        <f>SUM(G59:G60)</f>
        <v>0</v>
      </c>
      <c r="I61" s="258"/>
      <c r="J61" s="257">
        <f>SUM(J59:J60)</f>
        <v>0</v>
      </c>
      <c r="K61" s="184" t="str">
        <f t="shared" si="30"/>
        <v/>
      </c>
      <c r="L61" s="259" t="str">
        <f>B61</f>
        <v>סה"כ ציוד חצר כולל מע"מ</v>
      </c>
      <c r="M61" s="259"/>
      <c r="N61" s="148"/>
    </row>
    <row r="62" spans="1:14" ht="18" customHeight="1" x14ac:dyDescent="0.25">
      <c r="A62" s="206" t="s">
        <v>384</v>
      </c>
      <c r="B62" s="242"/>
      <c r="C62" s="242"/>
      <c r="D62" s="242"/>
      <c r="E62" s="297"/>
      <c r="F62" s="243"/>
      <c r="G62" s="257">
        <f>G20+G38+G43+G57+G61</f>
        <v>0</v>
      </c>
      <c r="I62" s="267"/>
      <c r="J62" s="257">
        <f>J20+J38+J43+J57+J61</f>
        <v>0</v>
      </c>
      <c r="K62" s="200"/>
      <c r="L62" s="200" t="str">
        <f>A62</f>
        <v>סה"כ חללים משותפים בבתים שיתופיים/הוסטלים</v>
      </c>
      <c r="M62" s="200"/>
      <c r="N62" s="202"/>
    </row>
  </sheetData>
  <sheetProtection algorithmName="SHA-512" hashValue="8xTS5du+Ya6J2ps0WAuJSR9SJA5NiMkjLavgG9FOhpdF6ugpQUoIPUeyGMmgYUbdxAuil5+YZG3cYCLxuIoPAw==" saltValue="VsNZZj8pPor56HLNVrnkrQ==" spinCount="100000" sheet="1" formatCells="0" formatColumns="0" formatRows="0"/>
  <conditionalFormatting sqref="K45:K57 K19:K20 K6:K15 K22:K38 K59:K61">
    <cfRule type="cellIs" dxfId="8" priority="18" operator="greaterThan">
      <formula>0</formula>
    </cfRule>
  </conditionalFormatting>
  <conditionalFormatting sqref="K40:K43">
    <cfRule type="cellIs" dxfId="7" priority="14" operator="greaterThan">
      <formula>0</formula>
    </cfRule>
  </conditionalFormatting>
  <conditionalFormatting sqref="K16">
    <cfRule type="cellIs" dxfId="6" priority="5" operator="greaterThan">
      <formula>0</formula>
    </cfRule>
  </conditionalFormatting>
  <conditionalFormatting sqref="K17:K18">
    <cfRule type="cellIs" dxfId="5" priority="4" operator="greaterThan">
      <formula>0</formula>
    </cfRule>
  </conditionalFormatting>
  <dataValidations count="1">
    <dataValidation type="list" allowBlank="1" showInputMessage="1" showErrorMessage="1" sqref="M59:M60 M22:M37 M40:M42 M45:M56 M6:M19">
      <formula1>"מאושר, לא מאושר"</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rightToLeft="1" zoomScaleNormal="100" workbookViewId="0">
      <pane xSplit="3" ySplit="4" topLeftCell="D5" activePane="bottomRight" state="frozen"/>
      <selection pane="topRight"/>
      <selection pane="bottomLeft"/>
      <selection pane="bottomRight"/>
    </sheetView>
  </sheetViews>
  <sheetFormatPr defaultColWidth="9" defaultRowHeight="15" x14ac:dyDescent="0.25"/>
  <cols>
    <col min="1" max="1" width="7.625" style="238" customWidth="1"/>
    <col min="2" max="2" width="11.375" style="238" customWidth="1"/>
    <col min="3" max="3" width="17.5" style="238" customWidth="1"/>
    <col min="4" max="4" width="22.125" style="238" customWidth="1"/>
    <col min="5" max="5" width="10.25" style="159" customWidth="1"/>
    <col min="6" max="6" width="7.25" style="238" customWidth="1"/>
    <col min="7" max="7" width="11.625" style="238" customWidth="1"/>
    <col min="8" max="8" width="1.5" style="238" customWidth="1"/>
    <col min="9" max="9" width="7.625" style="238" customWidth="1"/>
    <col min="10" max="10" width="9.5" style="238" customWidth="1"/>
    <col min="11" max="11" width="8.875" style="238" bestFit="1" customWidth="1"/>
    <col min="12" max="12" width="15" style="238" customWidth="1"/>
    <col min="13" max="13" width="8.25" style="238" customWidth="1"/>
    <col min="14" max="14" width="15" style="238" customWidth="1"/>
    <col min="15" max="15" width="3.75" style="238" customWidth="1"/>
    <col min="16" max="16384" width="9" style="238"/>
  </cols>
  <sheetData>
    <row r="1" spans="1:14" x14ac:dyDescent="0.25">
      <c r="A1" s="85" t="str">
        <f>'תוכן עניינים'!$B$7</f>
        <v xml:space="preserve">תקן ריהוט וציוד לדיור קהילתי </v>
      </c>
      <c r="E1" s="298" t="str">
        <f>'שאלון למילוי הגוף-חובה'!$C$33</f>
        <v>מס' דירות מעל 8 דיירים</v>
      </c>
      <c r="F1" s="299">
        <f>'שאלון למילוי הגוף-חובה'!$D$33</f>
        <v>0</v>
      </c>
      <c r="G1" s="330" t="s">
        <v>235</v>
      </c>
      <c r="I1" s="142" t="s">
        <v>385</v>
      </c>
    </row>
    <row r="2" spans="1:14" x14ac:dyDescent="0.25">
      <c r="A2" s="240">
        <f>'תוכן עניינים'!B17</f>
        <v>4</v>
      </c>
      <c r="B2" s="240" t="str">
        <f>'תוכן עניינים'!C17</f>
        <v>בית שיתופי: אופציה למטבחון וסלון קטן (מעל 8 דיירים)</v>
      </c>
      <c r="E2" s="298" t="str">
        <f>'שאלון למילוי הגוף-חובה'!C34</f>
        <v>מס' דיירים בדירות מעל 8 דיירים</v>
      </c>
      <c r="F2" s="299">
        <f>'שאלון למילוי הגוף-חובה'!D34</f>
        <v>0</v>
      </c>
      <c r="G2" s="331"/>
      <c r="H2" s="204"/>
    </row>
    <row r="3" spans="1:14" x14ac:dyDescent="0.25">
      <c r="A3" s="241"/>
      <c r="B3" s="242"/>
      <c r="C3" s="242" t="s">
        <v>199</v>
      </c>
      <c r="D3" s="242"/>
      <c r="E3" s="291"/>
      <c r="F3" s="242"/>
      <c r="G3" s="243"/>
      <c r="I3" s="174" t="s">
        <v>200</v>
      </c>
      <c r="J3" s="175"/>
      <c r="K3" s="175"/>
      <c r="L3" s="175"/>
      <c r="M3" s="175"/>
      <c r="N3" s="176"/>
    </row>
    <row r="4" spans="1:14" ht="30" x14ac:dyDescent="0.25">
      <c r="A4" s="222" t="s">
        <v>201</v>
      </c>
      <c r="B4" s="177" t="s">
        <v>202</v>
      </c>
      <c r="C4" s="149" t="s">
        <v>203</v>
      </c>
      <c r="D4" s="149" t="s">
        <v>204</v>
      </c>
      <c r="E4" s="149" t="s">
        <v>236</v>
      </c>
      <c r="F4" s="213" t="s">
        <v>237</v>
      </c>
      <c r="G4" s="149" t="s">
        <v>238</v>
      </c>
      <c r="I4" s="178" t="s">
        <v>208</v>
      </c>
      <c r="J4" s="178" t="s">
        <v>209</v>
      </c>
      <c r="K4" s="179" t="s">
        <v>210</v>
      </c>
      <c r="L4" s="149" t="s">
        <v>211</v>
      </c>
      <c r="M4" s="149" t="s">
        <v>212</v>
      </c>
      <c r="N4" s="149" t="s">
        <v>213</v>
      </c>
    </row>
    <row r="5" spans="1:14" x14ac:dyDescent="0.25">
      <c r="A5" s="272">
        <v>4.0999999999999996</v>
      </c>
      <c r="B5" s="200"/>
      <c r="C5" s="246" t="s">
        <v>386</v>
      </c>
      <c r="D5" s="246"/>
      <c r="E5" s="247"/>
      <c r="F5" s="292"/>
      <c r="G5" s="248"/>
      <c r="H5" s="239"/>
      <c r="I5" s="206"/>
      <c r="J5" s="246" t="str">
        <f>C5</f>
        <v>מטבחון</v>
      </c>
      <c r="K5" s="246"/>
      <c r="L5" s="247"/>
      <c r="M5" s="247"/>
      <c r="N5" s="243"/>
    </row>
    <row r="6" spans="1:14" ht="16.5" customHeight="1" x14ac:dyDescent="0.25">
      <c r="A6" s="244" t="s">
        <v>387</v>
      </c>
      <c r="B6" s="262" t="s">
        <v>242</v>
      </c>
      <c r="C6" s="254" t="s">
        <v>243</v>
      </c>
      <c r="D6" s="273" t="s">
        <v>388</v>
      </c>
      <c r="E6" s="274">
        <v>1500</v>
      </c>
      <c r="F6" s="295">
        <v>1</v>
      </c>
      <c r="G6" s="182">
        <f>E6*F6</f>
        <v>1500</v>
      </c>
      <c r="I6" s="49"/>
      <c r="J6" s="182">
        <f t="shared" ref="J6:J10" si="0">IF(G6=0,0,I6*E6)</f>
        <v>0</v>
      </c>
      <c r="K6" s="184" t="str">
        <f t="shared" ref="K6:K10" si="1">IF(J6=0,"",IF(OR(J6-G6&gt;0,J6-G6&lt;0), (J6-G6)/G6, ""))</f>
        <v/>
      </c>
      <c r="L6" s="64" t="str">
        <f>IF(I6&gt;F6,"יש להסביר חריגה","")</f>
        <v/>
      </c>
      <c r="M6" s="46"/>
      <c r="N6" s="46"/>
    </row>
    <row r="7" spans="1:14" x14ac:dyDescent="0.25">
      <c r="A7" s="244" t="s">
        <v>389</v>
      </c>
      <c r="B7" s="255"/>
      <c r="C7" s="254" t="s">
        <v>37</v>
      </c>
      <c r="D7" s="273"/>
      <c r="E7" s="274">
        <v>3500</v>
      </c>
      <c r="F7" s="295">
        <v>1</v>
      </c>
      <c r="G7" s="182">
        <f t="shared" ref="G7:G10" si="2">E7*F7</f>
        <v>3500</v>
      </c>
      <c r="I7" s="49"/>
      <c r="J7" s="182">
        <f t="shared" si="0"/>
        <v>0</v>
      </c>
      <c r="K7" s="184" t="str">
        <f t="shared" si="1"/>
        <v/>
      </c>
      <c r="L7" s="64" t="str">
        <f t="shared" ref="L7:L10" si="3">IF(I7&gt;F7,"יש להסביר חריגה","")</f>
        <v/>
      </c>
      <c r="M7" s="46"/>
      <c r="N7" s="46"/>
    </row>
    <row r="8" spans="1:14" s="239" customFormat="1" x14ac:dyDescent="0.25">
      <c r="A8" s="244" t="s">
        <v>390</v>
      </c>
      <c r="B8" s="255"/>
      <c r="C8" s="254" t="s">
        <v>24</v>
      </c>
      <c r="D8" s="273" t="s">
        <v>388</v>
      </c>
      <c r="E8" s="274">
        <v>1500</v>
      </c>
      <c r="F8" s="295">
        <v>1</v>
      </c>
      <c r="G8" s="182">
        <f t="shared" si="2"/>
        <v>1500</v>
      </c>
      <c r="H8" s="238"/>
      <c r="I8" s="49"/>
      <c r="J8" s="182">
        <f t="shared" si="0"/>
        <v>0</v>
      </c>
      <c r="K8" s="184" t="str">
        <f t="shared" si="1"/>
        <v/>
      </c>
      <c r="L8" s="64" t="str">
        <f t="shared" si="3"/>
        <v/>
      </c>
      <c r="M8" s="46"/>
      <c r="N8" s="46"/>
    </row>
    <row r="9" spans="1:14" x14ac:dyDescent="0.25">
      <c r="A9" s="244" t="s">
        <v>391</v>
      </c>
      <c r="B9" s="263"/>
      <c r="C9" s="254" t="s">
        <v>32</v>
      </c>
      <c r="D9" s="273"/>
      <c r="E9" s="274">
        <v>200</v>
      </c>
      <c r="F9" s="295">
        <v>1</v>
      </c>
      <c r="G9" s="182">
        <f t="shared" si="2"/>
        <v>200</v>
      </c>
      <c r="I9" s="49"/>
      <c r="J9" s="182">
        <f t="shared" si="0"/>
        <v>0</v>
      </c>
      <c r="K9" s="184" t="str">
        <f t="shared" si="1"/>
        <v/>
      </c>
      <c r="L9" s="64" t="str">
        <f t="shared" si="3"/>
        <v/>
      </c>
      <c r="M9" s="46"/>
      <c r="N9" s="46"/>
    </row>
    <row r="10" spans="1:14" ht="30" x14ac:dyDescent="0.25">
      <c r="A10" s="244" t="s">
        <v>392</v>
      </c>
      <c r="B10" s="244" t="s">
        <v>229</v>
      </c>
      <c r="C10" s="254" t="s">
        <v>393</v>
      </c>
      <c r="D10" s="273"/>
      <c r="E10" s="274">
        <v>4000</v>
      </c>
      <c r="F10" s="295">
        <v>1</v>
      </c>
      <c r="G10" s="182">
        <f t="shared" si="2"/>
        <v>4000</v>
      </c>
      <c r="I10" s="49"/>
      <c r="J10" s="182">
        <f t="shared" si="0"/>
        <v>0</v>
      </c>
      <c r="K10" s="184" t="str">
        <f t="shared" si="1"/>
        <v/>
      </c>
      <c r="L10" s="64" t="str">
        <f t="shared" si="3"/>
        <v/>
      </c>
      <c r="M10" s="46"/>
      <c r="N10" s="46"/>
    </row>
    <row r="11" spans="1:14" x14ac:dyDescent="0.25">
      <c r="A11" s="244" t="s">
        <v>394</v>
      </c>
      <c r="B11" s="206" t="s">
        <v>395</v>
      </c>
      <c r="C11" s="200"/>
      <c r="D11" s="200"/>
      <c r="E11" s="201"/>
      <c r="F11" s="202"/>
      <c r="G11" s="257">
        <f>SUM(G6:G10)</f>
        <v>10700</v>
      </c>
      <c r="I11" s="275"/>
      <c r="J11" s="257">
        <f>SUM(J6:J10)</f>
        <v>0</v>
      </c>
      <c r="K11" s="184" t="str">
        <f>IF(J11=0,"",IF(OR(J11-G11&gt;0,J11-G11&lt;0), (J11-G11)/G11, ""))</f>
        <v/>
      </c>
      <c r="L11" s="206" t="str">
        <f>B11</f>
        <v>סה"כ ציוד מטבחון כולל מע"מ</v>
      </c>
      <c r="M11" s="242"/>
      <c r="N11" s="243"/>
    </row>
    <row r="12" spans="1:14" x14ac:dyDescent="0.25">
      <c r="A12" s="245">
        <v>4.2</v>
      </c>
      <c r="B12" s="200"/>
      <c r="C12" s="246" t="s">
        <v>396</v>
      </c>
      <c r="D12" s="246"/>
      <c r="E12" s="247"/>
      <c r="F12" s="292"/>
      <c r="G12" s="248"/>
      <c r="I12" s="241"/>
      <c r="J12" s="246" t="str">
        <f>C12</f>
        <v xml:space="preserve">סלון קטן </v>
      </c>
      <c r="K12" s="246"/>
      <c r="L12" s="247"/>
      <c r="M12" s="247"/>
      <c r="N12" s="243"/>
    </row>
    <row r="13" spans="1:14" x14ac:dyDescent="0.25">
      <c r="A13" s="244" t="s">
        <v>397</v>
      </c>
      <c r="B13" s="276" t="s">
        <v>214</v>
      </c>
      <c r="C13" s="254" t="s">
        <v>71</v>
      </c>
      <c r="D13" s="273" t="s">
        <v>72</v>
      </c>
      <c r="E13" s="274">
        <v>10000</v>
      </c>
      <c r="F13" s="295">
        <v>1</v>
      </c>
      <c r="G13" s="182">
        <f t="shared" ref="G13:G22" si="4">E13*F13</f>
        <v>10000</v>
      </c>
      <c r="I13" s="49"/>
      <c r="J13" s="182">
        <f t="shared" ref="J13:J22" si="5">IF(G13=0,0,I13*E13)</f>
        <v>0</v>
      </c>
      <c r="K13" s="184" t="str">
        <f t="shared" ref="K13:K22" si="6">IF(J13=0,"",IF(OR(J13-G13&gt;0,J13-G13&lt;0), (J13-G13)/G13, ""))</f>
        <v/>
      </c>
      <c r="L13" s="64" t="str">
        <f t="shared" ref="L13:L22" si="7">IF(I13&gt;F13,"יש להסביר חריגה","")</f>
        <v/>
      </c>
      <c r="M13" s="46"/>
      <c r="N13" s="46"/>
    </row>
    <row r="14" spans="1:14" x14ac:dyDescent="0.25">
      <c r="A14" s="244" t="s">
        <v>398</v>
      </c>
      <c r="B14" s="277"/>
      <c r="C14" s="254" t="s">
        <v>264</v>
      </c>
      <c r="D14" s="273"/>
      <c r="E14" s="274">
        <v>1200</v>
      </c>
      <c r="F14" s="295">
        <v>1</v>
      </c>
      <c r="G14" s="182">
        <f t="shared" si="4"/>
        <v>1200</v>
      </c>
      <c r="I14" s="49"/>
      <c r="J14" s="182">
        <f t="shared" si="5"/>
        <v>0</v>
      </c>
      <c r="K14" s="184" t="str">
        <f t="shared" si="6"/>
        <v/>
      </c>
      <c r="L14" s="64" t="str">
        <f t="shared" si="7"/>
        <v/>
      </c>
      <c r="M14" s="46"/>
      <c r="N14" s="46"/>
    </row>
    <row r="15" spans="1:14" x14ac:dyDescent="0.25">
      <c r="A15" s="244" t="s">
        <v>399</v>
      </c>
      <c r="B15" s="278" t="s">
        <v>242</v>
      </c>
      <c r="C15" s="254" t="s">
        <v>400</v>
      </c>
      <c r="D15" s="273"/>
      <c r="E15" s="274">
        <v>7000</v>
      </c>
      <c r="F15" s="295">
        <v>1</v>
      </c>
      <c r="G15" s="182">
        <f t="shared" si="4"/>
        <v>7000</v>
      </c>
      <c r="I15" s="49"/>
      <c r="J15" s="182">
        <f t="shared" si="5"/>
        <v>0</v>
      </c>
      <c r="K15" s="184" t="str">
        <f t="shared" si="6"/>
        <v/>
      </c>
      <c r="L15" s="64" t="str">
        <f t="shared" si="7"/>
        <v/>
      </c>
      <c r="M15" s="46"/>
      <c r="N15" s="46"/>
    </row>
    <row r="16" spans="1:14" ht="30" x14ac:dyDescent="0.25">
      <c r="A16" s="244" t="s">
        <v>401</v>
      </c>
      <c r="B16" s="249" t="s">
        <v>224</v>
      </c>
      <c r="C16" s="254" t="s">
        <v>402</v>
      </c>
      <c r="D16" s="273" t="s">
        <v>227</v>
      </c>
      <c r="E16" s="274">
        <v>4500</v>
      </c>
      <c r="F16" s="295">
        <v>1</v>
      </c>
      <c r="G16" s="182">
        <f t="shared" si="4"/>
        <v>4500</v>
      </c>
      <c r="I16" s="49"/>
      <c r="J16" s="182">
        <f t="shared" si="5"/>
        <v>0</v>
      </c>
      <c r="K16" s="184" t="str">
        <f t="shared" si="6"/>
        <v/>
      </c>
      <c r="L16" s="64" t="str">
        <f t="shared" si="7"/>
        <v/>
      </c>
      <c r="M16" s="46"/>
      <c r="N16" s="46"/>
    </row>
    <row r="17" spans="1:14" x14ac:dyDescent="0.25">
      <c r="A17" s="244" t="s">
        <v>403</v>
      </c>
      <c r="B17" s="279"/>
      <c r="C17" s="254" t="s">
        <v>404</v>
      </c>
      <c r="D17" s="273" t="s">
        <v>405</v>
      </c>
      <c r="E17" s="274">
        <v>1500</v>
      </c>
      <c r="F17" s="295">
        <v>1</v>
      </c>
      <c r="G17" s="182">
        <f t="shared" si="4"/>
        <v>1500</v>
      </c>
      <c r="I17" s="49"/>
      <c r="J17" s="182">
        <f t="shared" si="5"/>
        <v>0</v>
      </c>
      <c r="K17" s="184" t="str">
        <f t="shared" si="6"/>
        <v/>
      </c>
      <c r="L17" s="64" t="str">
        <f t="shared" si="7"/>
        <v/>
      </c>
      <c r="M17" s="46"/>
      <c r="N17" s="46"/>
    </row>
    <row r="18" spans="1:14" x14ac:dyDescent="0.25">
      <c r="A18" s="244" t="s">
        <v>406</v>
      </c>
      <c r="B18" s="279"/>
      <c r="C18" s="254" t="s">
        <v>407</v>
      </c>
      <c r="D18" s="274"/>
      <c r="E18" s="274">
        <v>300</v>
      </c>
      <c r="F18" s="295">
        <v>1</v>
      </c>
      <c r="G18" s="182">
        <f t="shared" si="4"/>
        <v>300</v>
      </c>
      <c r="I18" s="49"/>
      <c r="J18" s="182">
        <f t="shared" si="5"/>
        <v>0</v>
      </c>
      <c r="K18" s="184" t="str">
        <f t="shared" si="6"/>
        <v/>
      </c>
      <c r="L18" s="64" t="str">
        <f t="shared" si="7"/>
        <v/>
      </c>
      <c r="M18" s="46"/>
      <c r="N18" s="46"/>
    </row>
    <row r="19" spans="1:14" x14ac:dyDescent="0.25">
      <c r="A19" s="244" t="s">
        <v>408</v>
      </c>
      <c r="B19" s="253"/>
      <c r="C19" s="254" t="s">
        <v>57</v>
      </c>
      <c r="D19" s="273"/>
      <c r="E19" s="274">
        <v>1200</v>
      </c>
      <c r="F19" s="295">
        <v>1</v>
      </c>
      <c r="G19" s="182">
        <f t="shared" si="4"/>
        <v>1200</v>
      </c>
      <c r="I19" s="49"/>
      <c r="J19" s="182">
        <f t="shared" si="5"/>
        <v>0</v>
      </c>
      <c r="K19" s="184" t="str">
        <f t="shared" si="6"/>
        <v/>
      </c>
      <c r="L19" s="64" t="str">
        <f t="shared" si="7"/>
        <v/>
      </c>
      <c r="M19" s="46"/>
      <c r="N19" s="46"/>
    </row>
    <row r="20" spans="1:14" ht="43.5" x14ac:dyDescent="0.25">
      <c r="A20" s="244" t="s">
        <v>409</v>
      </c>
      <c r="B20" s="253"/>
      <c r="C20" s="254" t="s">
        <v>225</v>
      </c>
      <c r="D20" s="273" t="s">
        <v>410</v>
      </c>
      <c r="E20" s="274">
        <v>5000</v>
      </c>
      <c r="F20" s="295">
        <v>1</v>
      </c>
      <c r="G20" s="182">
        <f t="shared" si="4"/>
        <v>5000</v>
      </c>
      <c r="I20" s="49"/>
      <c r="J20" s="182">
        <f t="shared" si="5"/>
        <v>0</v>
      </c>
      <c r="K20" s="184" t="str">
        <f t="shared" si="6"/>
        <v/>
      </c>
      <c r="L20" s="64" t="str">
        <f t="shared" si="7"/>
        <v/>
      </c>
      <c r="M20" s="46"/>
      <c r="N20" s="46"/>
    </row>
    <row r="21" spans="1:14" x14ac:dyDescent="0.25">
      <c r="A21" s="244" t="s">
        <v>411</v>
      </c>
      <c r="B21" s="270" t="s">
        <v>280</v>
      </c>
      <c r="C21" s="254" t="s">
        <v>52</v>
      </c>
      <c r="D21" s="273"/>
      <c r="E21" s="274">
        <v>3000</v>
      </c>
      <c r="F21" s="295">
        <v>1</v>
      </c>
      <c r="G21" s="182">
        <f t="shared" si="4"/>
        <v>3000</v>
      </c>
      <c r="I21" s="49"/>
      <c r="J21" s="182">
        <f t="shared" si="5"/>
        <v>0</v>
      </c>
      <c r="K21" s="184" t="str">
        <f t="shared" si="6"/>
        <v/>
      </c>
      <c r="L21" s="64" t="str">
        <f t="shared" si="7"/>
        <v/>
      </c>
      <c r="M21" s="46"/>
      <c r="N21" s="46"/>
    </row>
    <row r="22" spans="1:14" x14ac:dyDescent="0.25">
      <c r="A22" s="244" t="s">
        <v>412</v>
      </c>
      <c r="B22" s="269" t="s">
        <v>282</v>
      </c>
      <c r="C22" s="254" t="s">
        <v>77</v>
      </c>
      <c r="D22" s="273"/>
      <c r="E22" s="274">
        <v>3000</v>
      </c>
      <c r="F22" s="295">
        <v>1</v>
      </c>
      <c r="G22" s="182">
        <f t="shared" si="4"/>
        <v>3000</v>
      </c>
      <c r="I22" s="49"/>
      <c r="J22" s="182">
        <f t="shared" si="5"/>
        <v>0</v>
      </c>
      <c r="K22" s="184" t="str">
        <f t="shared" si="6"/>
        <v/>
      </c>
      <c r="L22" s="64" t="str">
        <f t="shared" si="7"/>
        <v/>
      </c>
      <c r="M22" s="46"/>
      <c r="N22" s="46"/>
    </row>
    <row r="23" spans="1:14" x14ac:dyDescent="0.25">
      <c r="A23" s="244" t="s">
        <v>413</v>
      </c>
      <c r="B23" s="206" t="s">
        <v>414</v>
      </c>
      <c r="C23" s="200"/>
      <c r="D23" s="200"/>
      <c r="E23" s="201"/>
      <c r="F23" s="202"/>
      <c r="G23" s="280">
        <f>SUM(G13:G22)</f>
        <v>36700</v>
      </c>
      <c r="H23" s="239"/>
      <c r="I23" s="258"/>
      <c r="J23" s="280">
        <f>SUM(J13:J22)</f>
        <v>0</v>
      </c>
      <c r="K23" s="184" t="str">
        <f>IF(J23=0,"",IF(OR(J23-G23&gt;0,J23-G23&lt;0), (J23-G23)/G23, ""))</f>
        <v/>
      </c>
      <c r="L23" s="206" t="str">
        <f>B23</f>
        <v>סה"כ סלון קטן כולל מע"מ</v>
      </c>
      <c r="M23" s="200"/>
      <c r="N23" s="202"/>
    </row>
    <row r="24" spans="1:14" x14ac:dyDescent="0.25">
      <c r="A24" s="206" t="s">
        <v>415</v>
      </c>
      <c r="B24" s="200"/>
      <c r="C24" s="200"/>
      <c r="D24" s="200"/>
      <c r="E24" s="201"/>
      <c r="F24" s="202"/>
      <c r="G24" s="280">
        <f>G11+G23</f>
        <v>47400</v>
      </c>
      <c r="H24" s="239"/>
      <c r="I24" s="258"/>
      <c r="J24" s="280">
        <f>J11+J23</f>
        <v>0</v>
      </c>
      <c r="K24" s="184" t="str">
        <f>IF(J24=0,"",IF(OR(J24-G24&gt;0,J24-G24&lt;0), (J24-G24)/G24, ""))</f>
        <v/>
      </c>
      <c r="L24" s="206" t="str">
        <f>A24</f>
        <v>סה"כ ציוד מטבחון וסלון קטן כולל מע"מ</v>
      </c>
      <c r="M24" s="200"/>
      <c r="N24" s="202"/>
    </row>
    <row r="26" spans="1:14" x14ac:dyDescent="0.25">
      <c r="E26" s="238"/>
    </row>
  </sheetData>
  <sheetProtection algorithmName="SHA-512" hashValue="yMoHs7uTb+mLBbpAAGqQEeFbRPPwr6rwI1w1EK2Gjljo9yio/14oZ1VQt37QY6WhgMMkJbp8GJJFChJFiLW2iQ==" saltValue="95OwN/HqxjVnYzNjBYnABQ==" spinCount="100000" sheet="1" formatCells="0" formatColumns="0" formatRows="0"/>
  <conditionalFormatting sqref="K6:K10">
    <cfRule type="cellIs" dxfId="4" priority="6" operator="greaterThan">
      <formula>0</formula>
    </cfRule>
  </conditionalFormatting>
  <conditionalFormatting sqref="K13:K22">
    <cfRule type="cellIs" dxfId="3" priority="2" operator="greaterThan">
      <formula>0</formula>
    </cfRule>
  </conditionalFormatting>
  <conditionalFormatting sqref="K11">
    <cfRule type="cellIs" dxfId="2" priority="3" operator="greaterThan">
      <formula>0</formula>
    </cfRule>
  </conditionalFormatting>
  <conditionalFormatting sqref="K23:K24">
    <cfRule type="cellIs" dxfId="1" priority="1" operator="greaterThan">
      <formula>0</formula>
    </cfRule>
  </conditionalFormatting>
  <dataValidations count="1">
    <dataValidation type="list" allowBlank="1" showInputMessage="1" showErrorMessage="1" sqref="M6:M10 M13:M22">
      <formula1>"מאושר, לא מאושר"</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74E3F86D58734C7AA1EEF000005FC8B6" ma:contentTypeVersion="1" ma:contentTypeDescription="צור מסמך חדש." ma:contentTypeScope="" ma:versionID="ae5ff37499b070873e287761911273f1">
  <xsd:schema xmlns:xsd="http://www.w3.org/2001/XMLSchema" xmlns:xs="http://www.w3.org/2001/XMLSchema" xmlns:p="http://schemas.microsoft.com/office/2006/metadata/properties" xmlns:ns1="http://schemas.microsoft.com/sharepoint/v3" targetNamespace="http://schemas.microsoft.com/office/2006/metadata/properties" ma:root="true" ma:fieldsID="08da46b6ae811ef844734bd8bf08ae2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7B08042-0BC9-4C5C-8938-4CA0808D0645}"/>
</file>

<file path=customXml/itemProps2.xml><?xml version="1.0" encoding="utf-8"?>
<ds:datastoreItem xmlns:ds="http://schemas.openxmlformats.org/officeDocument/2006/customXml" ds:itemID="{2F6655CA-112B-4257-9C48-F289473EDE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13</vt:i4>
      </vt:variant>
      <vt:variant>
        <vt:lpstr>טווחים בעלי שם</vt:lpstr>
      </vt:variant>
      <vt:variant>
        <vt:i4>2</vt:i4>
      </vt:variant>
    </vt:vector>
  </HeadingPairs>
  <TitlesOfParts>
    <vt:vector size="15" baseType="lpstr">
      <vt:lpstr>פירוט הסתרות</vt:lpstr>
      <vt:lpstr>נוסחאות</vt:lpstr>
      <vt:lpstr>פתיח </vt:lpstr>
      <vt:lpstr>תוכן עניינים</vt:lpstr>
      <vt:lpstr>שאלון למילוי הגוף-חובה</vt:lpstr>
      <vt:lpstr>חדרי שינה</vt:lpstr>
      <vt:lpstr>דירה קהילתית-חללים משותפים </vt:lpstr>
      <vt:lpstr>בית שיתופי-חללים משותפים</vt:lpstr>
      <vt:lpstr>בית שיתופי-סלון ומטבחון נוספים</vt:lpstr>
      <vt:lpstr>ציוד מיוחד</vt:lpstr>
      <vt:lpstr>ציוד מתקנים אחרים</vt:lpstr>
      <vt:lpstr>ציוד נוסף</vt:lpstr>
      <vt:lpstr>סיכום לוועדה</vt:lpstr>
      <vt:lpstr>'סיכום לוועדה'!WPrint_Area_W</vt:lpstr>
      <vt:lpstr>'פתיח '!WPrint_Area_W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Vadim</dc:creator>
  <cp:keywords/>
  <dc:description/>
  <cp:lastModifiedBy>אביטל גולנזר אפרתי</cp:lastModifiedBy>
  <cp:revision/>
  <dcterms:created xsi:type="dcterms:W3CDTF">2018-03-26T06:46:28Z</dcterms:created>
  <dcterms:modified xsi:type="dcterms:W3CDTF">2025-05-04T13:38:14Z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0x01010074E3F86D58734C7AA1EEF000005FC8B6</vt:lpwstr>
  </property>
  <property fmtid="{D5CDD505-2E9C-101B-9397-08002B2CF9AE}" pid="10" name="Order">
    <vt:r8>12500</vt:r8>
  </property>
  <property fmtid="{D5CDD505-2E9C-101B-9397-08002B2CF9AE}" pid="11" name="TemplateUrl">
    <vt:lpwstr/>
  </property>
  <property fmtid="{D5CDD505-2E9C-101B-9397-08002B2CF9AE}" pid="12" name="_SourceUrl">
    <vt:lpwstr/>
  </property>
  <property fmtid="{D5CDD505-2E9C-101B-9397-08002B2CF9AE}" pid="13" name="_SharedFileIndex">
    <vt:lpwstr/>
  </property>
  <property fmtid="{D5CDD505-2E9C-101B-9397-08002B2CF9AE}" pid="14" name="xd_Signature">
    <vt:bool>false</vt:bool>
  </property>
  <property fmtid="{D5CDD505-2E9C-101B-9397-08002B2CF9AE}" pid="15" name="xd_ProgID">
    <vt:lpwstr/>
  </property>
</Properties>
</file>