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Beni\Documents\מסמכים מטי\ביטוח לאומי\תקן ציוד בסיסי למפעלים מוגנים\תקן הצטיידות למסגרות תעסוקה מוגנת-נובמבר 2023\"/>
    </mc:Choice>
  </mc:AlternateContent>
  <xr:revisionPtr revIDLastSave="0" documentId="8_{506F35A2-5750-40CC-A676-061D5F424EF9}" xr6:coauthVersionLast="36" xr6:coauthVersionMax="36" xr10:uidLastSave="{00000000-0000-0000-0000-000000000000}"/>
  <bookViews>
    <workbookView xWindow="0" yWindow="0" windowWidth="23040" windowHeight="8532" tabRatio="782" xr2:uid="{00000000-000D-0000-FFFF-FFFF00000000}"/>
  </bookViews>
  <sheets>
    <sheet name="הסבר תקן" sheetId="17" r:id="rId1"/>
    <sheet name="שאלון למילוי הגוף-חובה" sheetId="10" r:id="rId2"/>
    <sheet name="ריהוט, אחסנה, חצר והצללה" sheetId="8" r:id="rId3"/>
    <sheet name="שינוע, מכונות מטבח ושונות" sheetId="11" r:id="rId4"/>
    <sheet name="כלי עבודה" sheetId="13" r:id="rId5"/>
    <sheet name="ציוד יעודי" sheetId="19" r:id="rId6"/>
    <sheet name="סיכום בקשת הגוף" sheetId="20" r:id="rId7"/>
    <sheet name="פורמט לועדה- סיכום" sheetId="5" r:id="rId8"/>
  </sheets>
  <externalReferences>
    <externalReference r:id="rId9"/>
  </externalReferences>
  <definedNames>
    <definedName name="BedroomType" localSheetId="4">#REF!</definedName>
    <definedName name="BedroomType" localSheetId="6">#REF!</definedName>
    <definedName name="BedroomType" localSheetId="1">#REF!</definedName>
    <definedName name="BedroomType" localSheetId="3">#REF!</definedName>
    <definedName name="BedroomType">#REF!</definedName>
    <definedName name="_xlnm.Print_Area" localSheetId="4">'כלי עבודה'!$B$3:$T$16</definedName>
    <definedName name="_xlnm.Print_Area" localSheetId="6">'סיכום בקשת הגוף'!$B$2:$E$28</definedName>
    <definedName name="_xlnm.Print_Area" localSheetId="7">'פורמט לועדה- סיכום'!$B$2:$G$46</definedName>
    <definedName name="_xlnm.Print_Area" localSheetId="2">'ריהוט, אחסנה, חצר והצללה'!$B$3:$W$31</definedName>
    <definedName name="_xlnm.Print_Area" localSheetId="3">'שינוע, מכונות מטבח ושונות'!$B$3:$V$66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20" l="1"/>
  <c r="C11" i="20"/>
  <c r="D10" i="20"/>
  <c r="C10" i="20"/>
  <c r="D9" i="20"/>
  <c r="C9" i="20"/>
  <c r="D8" i="20"/>
  <c r="C8" i="20"/>
  <c r="C2" i="20"/>
  <c r="K5" i="19" l="1"/>
  <c r="K6" i="19"/>
  <c r="K7" i="19"/>
  <c r="K8" i="19"/>
  <c r="K9" i="19"/>
  <c r="K10" i="19"/>
  <c r="K11" i="19"/>
  <c r="K12" i="19"/>
  <c r="K13" i="19"/>
  <c r="K14" i="19"/>
  <c r="K15" i="19"/>
  <c r="K16" i="19"/>
  <c r="K17" i="19"/>
  <c r="K18" i="19"/>
  <c r="K19" i="19"/>
  <c r="K20" i="19"/>
  <c r="K21" i="19"/>
  <c r="K22" i="19"/>
  <c r="K23" i="19"/>
  <c r="K24" i="19"/>
  <c r="K25" i="19"/>
  <c r="K26" i="19"/>
  <c r="K27" i="19"/>
  <c r="K28" i="19"/>
  <c r="Q6" i="13"/>
  <c r="Q7" i="13"/>
  <c r="Q8" i="13"/>
  <c r="Q9" i="13"/>
  <c r="Q10" i="13"/>
  <c r="Q11" i="13"/>
  <c r="Q12" i="13"/>
  <c r="Q5" i="13"/>
  <c r="S15" i="11"/>
  <c r="S16" i="11"/>
  <c r="S17" i="11"/>
  <c r="S18" i="11"/>
  <c r="S19" i="11"/>
  <c r="T21" i="8"/>
  <c r="T22" i="8"/>
  <c r="T23" i="8"/>
  <c r="T24" i="8"/>
  <c r="A2" i="19" l="1"/>
  <c r="F62" i="11" l="1"/>
  <c r="F64" i="11"/>
  <c r="F63" i="11"/>
  <c r="F61" i="11"/>
  <c r="F60" i="11"/>
  <c r="E57" i="11"/>
  <c r="E59" i="11"/>
  <c r="E58" i="11"/>
  <c r="F56" i="11"/>
  <c r="F55" i="11"/>
  <c r="E54" i="11"/>
  <c r="E48" i="11"/>
  <c r="E49" i="11"/>
  <c r="E50" i="11"/>
  <c r="E51" i="11"/>
  <c r="E52" i="11"/>
  <c r="E47" i="11"/>
  <c r="F46" i="11"/>
  <c r="E45" i="11"/>
  <c r="E44" i="11"/>
  <c r="E43" i="11"/>
  <c r="E42" i="11"/>
  <c r="E41" i="11"/>
  <c r="E40" i="11"/>
  <c r="E39" i="11"/>
  <c r="E36" i="11"/>
  <c r="F30" i="11"/>
  <c r="F29" i="11"/>
  <c r="E28" i="11"/>
  <c r="E27" i="11"/>
  <c r="F26" i="11"/>
  <c r="E25" i="11"/>
  <c r="F24" i="11"/>
  <c r="C35" i="11" l="1"/>
  <c r="C2" i="5" l="1"/>
  <c r="C1" i="10"/>
  <c r="C1" i="11" l="1"/>
  <c r="G1" i="13" l="1"/>
  <c r="N1" i="8"/>
  <c r="K1" i="13"/>
  <c r="I1" i="11"/>
  <c r="M1" i="11" s="1"/>
  <c r="L9" i="13" l="1"/>
  <c r="L6" i="13"/>
  <c r="L7" i="13"/>
  <c r="L8" i="13"/>
  <c r="L10" i="13"/>
  <c r="L11" i="13"/>
  <c r="L12" i="13"/>
  <c r="F21" i="8" l="1"/>
  <c r="F22" i="8"/>
  <c r="F23" i="8"/>
  <c r="F7" i="8"/>
  <c r="T7" i="8" s="1"/>
  <c r="F8" i="8"/>
  <c r="T8" i="8" s="1"/>
  <c r="F9" i="8"/>
  <c r="T9" i="8" s="1"/>
  <c r="F10" i="8"/>
  <c r="T10" i="8" s="1"/>
  <c r="F6" i="8" l="1"/>
  <c r="T6" i="8" s="1"/>
  <c r="L5" i="19"/>
  <c r="L6" i="19"/>
  <c r="L7" i="19"/>
  <c r="L8" i="19"/>
  <c r="L9" i="19"/>
  <c r="L10" i="19"/>
  <c r="L11" i="19"/>
  <c r="L12" i="19"/>
  <c r="L13" i="19"/>
  <c r="L14" i="19"/>
  <c r="L15" i="19"/>
  <c r="L16" i="19"/>
  <c r="L17" i="19"/>
  <c r="L18" i="19"/>
  <c r="L19" i="19"/>
  <c r="L20" i="19"/>
  <c r="L21" i="19"/>
  <c r="L22" i="19"/>
  <c r="L23" i="19"/>
  <c r="L24" i="19"/>
  <c r="L25" i="19"/>
  <c r="L26" i="19"/>
  <c r="L27" i="19"/>
  <c r="L28" i="19"/>
  <c r="E5" i="8" l="1"/>
  <c r="F5" i="8" l="1"/>
  <c r="T5" i="8" l="1"/>
  <c r="E31" i="11"/>
  <c r="E27" i="10" l="1"/>
  <c r="H1" i="19" l="1"/>
  <c r="G1" i="19"/>
  <c r="A1" i="19"/>
  <c r="E1" i="13"/>
  <c r="D1" i="13"/>
  <c r="G1" i="11"/>
  <c r="F1" i="11"/>
  <c r="H1" i="8"/>
  <c r="G1" i="8"/>
  <c r="K4" i="19"/>
  <c r="L4" i="19" s="1"/>
  <c r="B1" i="13"/>
  <c r="B1" i="11"/>
  <c r="B1" i="8"/>
  <c r="D8" i="5" l="1"/>
  <c r="E35" i="5"/>
  <c r="M6" i="13" l="1"/>
  <c r="N6" i="13"/>
  <c r="R6" i="13"/>
  <c r="M7" i="13"/>
  <c r="N7" i="13"/>
  <c r="R7" i="13"/>
  <c r="M8" i="13"/>
  <c r="N8" i="13"/>
  <c r="R8" i="13"/>
  <c r="M9" i="13"/>
  <c r="N9" i="13"/>
  <c r="R9" i="13"/>
  <c r="M10" i="13"/>
  <c r="N10" i="13"/>
  <c r="R10" i="13"/>
  <c r="M11" i="13"/>
  <c r="N11" i="13"/>
  <c r="R11" i="13"/>
  <c r="M12" i="13"/>
  <c r="N12" i="13"/>
  <c r="R12" i="13"/>
  <c r="S5" i="13"/>
  <c r="N5" i="13"/>
  <c r="M5" i="13"/>
  <c r="L5" i="13"/>
  <c r="S64" i="11"/>
  <c r="U64" i="11" s="1"/>
  <c r="S63" i="11"/>
  <c r="T63" i="11" s="1"/>
  <c r="S62" i="11"/>
  <c r="T62" i="11" s="1"/>
  <c r="S61" i="11"/>
  <c r="U61" i="11" s="1"/>
  <c r="S60" i="11"/>
  <c r="U60" i="11" s="1"/>
  <c r="S59" i="11"/>
  <c r="T59" i="11" s="1"/>
  <c r="S58" i="11"/>
  <c r="T58" i="11" s="1"/>
  <c r="S57" i="11"/>
  <c r="U57" i="11" s="1"/>
  <c r="S56" i="11"/>
  <c r="U56" i="11" s="1"/>
  <c r="S55" i="11"/>
  <c r="T55" i="11" s="1"/>
  <c r="S54" i="11"/>
  <c r="T54" i="11" s="1"/>
  <c r="S53" i="11"/>
  <c r="U53" i="11" s="1"/>
  <c r="S52" i="11"/>
  <c r="U52" i="11" s="1"/>
  <c r="S51" i="11"/>
  <c r="T51" i="11" s="1"/>
  <c r="S50" i="11"/>
  <c r="U50" i="11" s="1"/>
  <c r="S49" i="11"/>
  <c r="S48" i="11"/>
  <c r="S47" i="11"/>
  <c r="T47" i="11" s="1"/>
  <c r="S46" i="11"/>
  <c r="S45" i="11"/>
  <c r="S44" i="11"/>
  <c r="T44" i="11" s="1"/>
  <c r="S43" i="11"/>
  <c r="S42" i="11"/>
  <c r="S41" i="11"/>
  <c r="S40" i="11"/>
  <c r="T40" i="11" s="1"/>
  <c r="S39" i="11"/>
  <c r="T39" i="11" s="1"/>
  <c r="S38" i="11"/>
  <c r="S37" i="11"/>
  <c r="S36" i="11"/>
  <c r="T36" i="11" s="1"/>
  <c r="S31" i="11"/>
  <c r="S30" i="11"/>
  <c r="T30" i="11" s="1"/>
  <c r="S29" i="11"/>
  <c r="S28" i="11"/>
  <c r="S27" i="11"/>
  <c r="S26" i="11"/>
  <c r="T26" i="11" s="1"/>
  <c r="S25" i="11"/>
  <c r="S24" i="11"/>
  <c r="T18" i="11"/>
  <c r="S14" i="11"/>
  <c r="T14" i="11" s="1"/>
  <c r="S9" i="11"/>
  <c r="U9" i="11" s="1"/>
  <c r="S8" i="11"/>
  <c r="T8" i="11" s="1"/>
  <c r="S7" i="11"/>
  <c r="U7" i="11" s="1"/>
  <c r="S6" i="11"/>
  <c r="U6" i="11" s="1"/>
  <c r="S5" i="11"/>
  <c r="U5" i="11" s="1"/>
  <c r="V6" i="8"/>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1" i="11"/>
  <c r="O31" i="11"/>
  <c r="N31" i="11"/>
  <c r="P30" i="11"/>
  <c r="O30" i="11"/>
  <c r="N30" i="11"/>
  <c r="P29" i="11"/>
  <c r="O29" i="11"/>
  <c r="N29" i="11"/>
  <c r="P28" i="11"/>
  <c r="O28" i="11"/>
  <c r="N28" i="11"/>
  <c r="P27" i="11"/>
  <c r="O27" i="11"/>
  <c r="N27" i="11"/>
  <c r="P26" i="11"/>
  <c r="O26" i="11"/>
  <c r="N26" i="11"/>
  <c r="P25" i="11"/>
  <c r="O25" i="11"/>
  <c r="N25" i="11"/>
  <c r="P24" i="11"/>
  <c r="O24" i="11"/>
  <c r="N24" i="11"/>
  <c r="P19" i="11"/>
  <c r="O19" i="11"/>
  <c r="N19" i="11"/>
  <c r="P18" i="11"/>
  <c r="O18" i="11"/>
  <c r="N18" i="11"/>
  <c r="P17" i="11"/>
  <c r="O17" i="11"/>
  <c r="N17" i="11"/>
  <c r="P16" i="11"/>
  <c r="O16" i="11"/>
  <c r="N16" i="11"/>
  <c r="P15" i="11"/>
  <c r="O15" i="11"/>
  <c r="N15" i="11"/>
  <c r="P14" i="11"/>
  <c r="O14" i="11"/>
  <c r="N14" i="11"/>
  <c r="P9" i="11"/>
  <c r="O9" i="11"/>
  <c r="N9" i="11"/>
  <c r="P8" i="11"/>
  <c r="O8" i="11"/>
  <c r="N8" i="11"/>
  <c r="P7" i="11"/>
  <c r="O7" i="11"/>
  <c r="N7" i="11"/>
  <c r="P6" i="11"/>
  <c r="O6" i="11"/>
  <c r="N6" i="11"/>
  <c r="V24" i="8"/>
  <c r="U24" i="8"/>
  <c r="P24" i="8"/>
  <c r="O24" i="8"/>
  <c r="P6" i="8"/>
  <c r="H28" i="19"/>
  <c r="H27" i="19"/>
  <c r="H26" i="19"/>
  <c r="H25" i="19"/>
  <c r="H24" i="19"/>
  <c r="H23" i="19"/>
  <c r="H22" i="19"/>
  <c r="H21" i="19"/>
  <c r="H20" i="19"/>
  <c r="H19" i="19"/>
  <c r="H18" i="19"/>
  <c r="H17" i="19"/>
  <c r="H16" i="19"/>
  <c r="H15" i="19"/>
  <c r="H14" i="19"/>
  <c r="H13" i="19"/>
  <c r="H12" i="19"/>
  <c r="H11" i="19"/>
  <c r="H10" i="19"/>
  <c r="H9" i="19"/>
  <c r="H8" i="19"/>
  <c r="H7" i="19"/>
  <c r="H6" i="19"/>
  <c r="H5" i="19"/>
  <c r="H4" i="19"/>
  <c r="U37" i="11" l="1"/>
  <c r="T37" i="11"/>
  <c r="U38" i="11"/>
  <c r="T38" i="11"/>
  <c r="U46" i="11"/>
  <c r="T46" i="11"/>
  <c r="U24" i="11"/>
  <c r="T24" i="11"/>
  <c r="U29" i="11"/>
  <c r="T29" i="11"/>
  <c r="U17" i="11"/>
  <c r="T17" i="11"/>
  <c r="U16" i="11"/>
  <c r="T16" i="11"/>
  <c r="U15" i="11"/>
  <c r="T15" i="11"/>
  <c r="U19" i="11"/>
  <c r="T19" i="11"/>
  <c r="U25" i="11"/>
  <c r="T25" i="11"/>
  <c r="U41" i="11"/>
  <c r="T41" i="11"/>
  <c r="U45" i="11"/>
  <c r="T45" i="11"/>
  <c r="U49" i="11"/>
  <c r="T49" i="11"/>
  <c r="U28" i="11"/>
  <c r="T28" i="11"/>
  <c r="U48" i="11"/>
  <c r="T48" i="11"/>
  <c r="U42" i="11"/>
  <c r="T42" i="11"/>
  <c r="U27" i="11"/>
  <c r="T27" i="11"/>
  <c r="U31" i="11"/>
  <c r="T31" i="11"/>
  <c r="U43" i="11"/>
  <c r="T43" i="11"/>
  <c r="T56" i="11"/>
  <c r="H29" i="19"/>
  <c r="D24" i="20" s="1"/>
  <c r="S7" i="13"/>
  <c r="U58" i="11"/>
  <c r="U26" i="11"/>
  <c r="U8" i="11"/>
  <c r="T7" i="11"/>
  <c r="U62" i="11"/>
  <c r="U30" i="11"/>
  <c r="U39" i="11"/>
  <c r="T50" i="11"/>
  <c r="T52" i="11"/>
  <c r="T60" i="11"/>
  <c r="U54" i="11"/>
  <c r="U18" i="11"/>
  <c r="U14" i="11"/>
  <c r="U36" i="11"/>
  <c r="U40" i="11"/>
  <c r="U44" i="11"/>
  <c r="U47" i="11"/>
  <c r="U51" i="11"/>
  <c r="U55" i="11"/>
  <c r="U59" i="11"/>
  <c r="T64" i="11"/>
  <c r="S11" i="13"/>
  <c r="S9" i="13"/>
  <c r="S12" i="13"/>
  <c r="S10" i="13"/>
  <c r="S8" i="13"/>
  <c r="S6" i="13"/>
  <c r="R5" i="13"/>
  <c r="U63" i="11"/>
  <c r="T53" i="11"/>
  <c r="T57" i="11"/>
  <c r="T61" i="11"/>
  <c r="T6" i="11"/>
  <c r="T5" i="11"/>
  <c r="T9" i="11"/>
  <c r="L29" i="19"/>
  <c r="D24" i="5" s="1"/>
  <c r="V5" i="8"/>
  <c r="F6" i="5"/>
  <c r="E6" i="5"/>
  <c r="D11" i="5" l="1"/>
  <c r="C11" i="5"/>
  <c r="D10" i="5"/>
  <c r="F5" i="5"/>
  <c r="E5" i="5"/>
  <c r="F4" i="5"/>
  <c r="E4" i="5"/>
  <c r="C9" i="5"/>
  <c r="C10" i="5"/>
  <c r="C8" i="5"/>
  <c r="D29" i="5" l="1"/>
  <c r="D30" i="5" s="1"/>
  <c r="D31" i="5" s="1"/>
  <c r="F15" i="8"/>
  <c r="T15" i="8" l="1"/>
  <c r="V15" i="8" s="1"/>
  <c r="O7" i="8"/>
  <c r="V7" i="8"/>
  <c r="P7" i="8"/>
  <c r="O15" i="8"/>
  <c r="H7" i="8"/>
  <c r="Q7" i="8"/>
  <c r="U15" i="8" l="1"/>
  <c r="U7" i="8"/>
  <c r="F20" i="8"/>
  <c r="O6" i="8"/>
  <c r="U5" i="8"/>
  <c r="P22" i="8" l="1"/>
  <c r="O22" i="8"/>
  <c r="O10" i="8"/>
  <c r="P10" i="8"/>
  <c r="V10" i="8"/>
  <c r="T20" i="8"/>
  <c r="P20" i="8"/>
  <c r="O20" i="8"/>
  <c r="O9" i="8"/>
  <c r="V9" i="8"/>
  <c r="P9" i="8"/>
  <c r="O23" i="8"/>
  <c r="P23" i="8"/>
  <c r="O8" i="8"/>
  <c r="P8" i="8"/>
  <c r="V8" i="8"/>
  <c r="P21" i="8"/>
  <c r="O21" i="8"/>
  <c r="Q10" i="8"/>
  <c r="Q9" i="8"/>
  <c r="Q8" i="8"/>
  <c r="Q6" i="8"/>
  <c r="U6" i="8"/>
  <c r="P5" i="11"/>
  <c r="Q24" i="8"/>
  <c r="U10" i="8" l="1"/>
  <c r="U9" i="8"/>
  <c r="U8" i="8"/>
  <c r="V20" i="8"/>
  <c r="U20" i="8"/>
  <c r="V21" i="8"/>
  <c r="U21" i="8"/>
  <c r="V23" i="8"/>
  <c r="U23" i="8"/>
  <c r="V22" i="8"/>
  <c r="U22" i="8"/>
  <c r="D26" i="10"/>
  <c r="F29" i="8" s="1"/>
  <c r="T29" i="8" l="1"/>
  <c r="V29" i="8" s="1"/>
  <c r="P29" i="8"/>
  <c r="O29" i="8"/>
  <c r="O5" i="11" l="1"/>
  <c r="P30" i="8"/>
  <c r="D18" i="20" s="1"/>
  <c r="P5" i="8"/>
  <c r="O20" i="11" l="1"/>
  <c r="O32" i="11"/>
  <c r="D21" i="20" s="1"/>
  <c r="H5" i="8"/>
  <c r="Q5" i="8"/>
  <c r="P25" i="8"/>
  <c r="D17" i="20" s="1"/>
  <c r="M13" i="13"/>
  <c r="O10" i="11"/>
  <c r="P11" i="8"/>
  <c r="D15" i="20" s="1"/>
  <c r="O65" i="11"/>
  <c r="D22" i="20" s="1"/>
  <c r="G40" i="11"/>
  <c r="G42" i="11"/>
  <c r="G39" i="11"/>
  <c r="G64" i="11"/>
  <c r="D19" i="20" l="1"/>
  <c r="D23" i="20"/>
  <c r="D20" i="20"/>
  <c r="H21" i="8"/>
  <c r="Q21" i="8"/>
  <c r="D9" i="5" l="1"/>
  <c r="G56" i="11" l="1"/>
  <c r="G57" i="11"/>
  <c r="G59" i="11"/>
  <c r="G58" i="11"/>
  <c r="G60" i="11"/>
  <c r="G54" i="11"/>
  <c r="G53" i="11"/>
  <c r="G46" i="11"/>
  <c r="G45" i="11"/>
  <c r="G44" i="11"/>
  <c r="G43" i="11"/>
  <c r="G52" i="11"/>
  <c r="G51" i="11"/>
  <c r="G50" i="11"/>
  <c r="G49" i="11"/>
  <c r="G48" i="11"/>
  <c r="G47" i="11"/>
  <c r="E12" i="13" l="1"/>
  <c r="E11" i="13"/>
  <c r="E10" i="13"/>
  <c r="E9" i="13"/>
  <c r="E8" i="13"/>
  <c r="E7" i="13"/>
  <c r="E6" i="13"/>
  <c r="E5" i="13"/>
  <c r="N5" i="11"/>
  <c r="V30" i="8" l="1"/>
  <c r="V25" i="8"/>
  <c r="E13" i="13"/>
  <c r="L13" i="13" s="1"/>
  <c r="D18" i="5" l="1"/>
  <c r="D17" i="5"/>
  <c r="S13" i="13"/>
  <c r="R13" i="13" s="1"/>
  <c r="U65" i="11"/>
  <c r="U32" i="11"/>
  <c r="U20" i="11"/>
  <c r="U10" i="11"/>
  <c r="V11" i="8"/>
  <c r="Q23" i="8"/>
  <c r="Q22" i="8"/>
  <c r="Q20" i="8"/>
  <c r="Q15" i="8"/>
  <c r="G63" i="11"/>
  <c r="G62" i="11"/>
  <c r="G61" i="11"/>
  <c r="G55" i="11"/>
  <c r="G41" i="11"/>
  <c r="G38" i="11"/>
  <c r="G37" i="11"/>
  <c r="G36" i="11"/>
  <c r="G31" i="11"/>
  <c r="G30" i="11"/>
  <c r="G29" i="11"/>
  <c r="G28" i="11"/>
  <c r="G27" i="11"/>
  <c r="G26" i="11"/>
  <c r="G25" i="11"/>
  <c r="G24" i="11"/>
  <c r="G19" i="11"/>
  <c r="G18" i="11"/>
  <c r="G17" i="11"/>
  <c r="G16" i="11"/>
  <c r="G15" i="11"/>
  <c r="G14" i="11"/>
  <c r="G9" i="11"/>
  <c r="G8" i="11"/>
  <c r="G7" i="11"/>
  <c r="G6" i="11"/>
  <c r="G5" i="11"/>
  <c r="T10" i="11" l="1"/>
  <c r="D20" i="5"/>
  <c r="D19" i="5"/>
  <c r="D22" i="5"/>
  <c r="D21" i="5"/>
  <c r="D15" i="5"/>
  <c r="D23" i="5"/>
  <c r="Q29" i="8"/>
  <c r="U29" i="8"/>
  <c r="O5" i="8"/>
  <c r="G32" i="11"/>
  <c r="G20" i="11"/>
  <c r="N20" i="11" s="1"/>
  <c r="G10" i="11"/>
  <c r="N10" i="11" s="1"/>
  <c r="G65" i="11"/>
  <c r="T20" i="11" l="1"/>
  <c r="T32" i="11"/>
  <c r="N32" i="11"/>
  <c r="T65" i="11"/>
  <c r="N65" i="11"/>
  <c r="H29" i="8"/>
  <c r="H20" i="8"/>
  <c r="H24" i="8"/>
  <c r="H23" i="8"/>
  <c r="H22" i="8"/>
  <c r="P15" i="8"/>
  <c r="H6" i="8"/>
  <c r="H8" i="8"/>
  <c r="H9" i="8"/>
  <c r="H10" i="8"/>
  <c r="V16" i="8" l="1"/>
  <c r="P16" i="8"/>
  <c r="D16" i="20" s="1"/>
  <c r="D25" i="20" s="1"/>
  <c r="H30" i="8"/>
  <c r="H25" i="8"/>
  <c r="H15" i="8"/>
  <c r="H11" i="8"/>
  <c r="O30" i="8" l="1"/>
  <c r="U30" i="8"/>
  <c r="O25" i="8"/>
  <c r="U25" i="8"/>
  <c r="O11" i="8"/>
  <c r="U11" i="8"/>
  <c r="D16" i="5"/>
  <c r="D25" i="5" s="1"/>
  <c r="H16" i="8"/>
  <c r="O16" i="8" l="1"/>
  <c r="U16" i="8"/>
  <c r="E44" i="5"/>
  <c r="E30" i="5"/>
  <c r="E29" i="5"/>
  <c r="E37" i="5" l="1"/>
  <c r="E42" i="5"/>
  <c r="D42" i="5" s="1"/>
  <c r="D35" i="5"/>
  <c r="E31" i="5"/>
  <c r="E36" i="5" l="1"/>
  <c r="E43" i="5"/>
  <c r="D43" i="5" s="1"/>
  <c r="D44" i="5" s="1"/>
  <c r="D36" i="5" l="1"/>
  <c r="D37" i="5" s="1"/>
</calcChain>
</file>

<file path=xl/sharedStrings.xml><?xml version="1.0" encoding="utf-8"?>
<sst xmlns="http://schemas.openxmlformats.org/spreadsheetml/2006/main" count="481" uniqueCount="230">
  <si>
    <t>כמות</t>
  </si>
  <si>
    <t>כמות מבוקשת</t>
  </si>
  <si>
    <t>הערות</t>
  </si>
  <si>
    <t>סטייה מהתקן</t>
  </si>
  <si>
    <t>סה"כ</t>
  </si>
  <si>
    <t>קטגוריה</t>
  </si>
  <si>
    <t>מימון עצמי</t>
  </si>
  <si>
    <t xml:space="preserve">סכום מימון </t>
  </si>
  <si>
    <t>אחוז מימון</t>
  </si>
  <si>
    <t>גורם מממן</t>
  </si>
  <si>
    <t>בקשת הגוף</t>
  </si>
  <si>
    <t>כמות מאושרת</t>
  </si>
  <si>
    <t>סה"כ בקשה</t>
  </si>
  <si>
    <t>תאריך הגשת הבקשה:</t>
  </si>
  <si>
    <t>שם הגוף המבקש:</t>
  </si>
  <si>
    <t>אחוז מימון מקסימלי-ביטוח לאומי</t>
  </si>
  <si>
    <t>תקן למפעל</t>
  </si>
  <si>
    <t>סוג ציוד</t>
  </si>
  <si>
    <t>תיאור הציוד</t>
  </si>
  <si>
    <t>יחידת מידה</t>
  </si>
  <si>
    <t>תקן ליחידה</t>
  </si>
  <si>
    <t>מעמד לכרטיסי נוכחות</t>
  </si>
  <si>
    <t>שולחנות חדר אוכל</t>
  </si>
  <si>
    <t>כסא עבודה מרופד ,סטנדרטי מבנה מתכת</t>
  </si>
  <si>
    <t xml:space="preserve">ארון לוקר - 16 תאים בארון אחד  (מתכת)   </t>
  </si>
  <si>
    <t xml:space="preserve">יח' </t>
  </si>
  <si>
    <t>אמצעי שינוע</t>
  </si>
  <si>
    <t>סוג אמצעי השינוע</t>
  </si>
  <si>
    <t>מערכות אחסנה</t>
  </si>
  <si>
    <t>מערכות אחסנה מידוף</t>
  </si>
  <si>
    <t>אמצעי עזר לייצור- מכונות וכלי עבודה</t>
  </si>
  <si>
    <t>תקן מדפים נדרש במטר רץ למפעל</t>
  </si>
  <si>
    <t>אמצעי עזר- מכונות</t>
  </si>
  <si>
    <t>משקל ספירה אלקטרוני עד 5 ק"ג</t>
  </si>
  <si>
    <t>משקל ספירה אלקטרוני עד 30 ק"ג</t>
  </si>
  <si>
    <t>מכונת שרינק + תנור</t>
  </si>
  <si>
    <t>מכונות שרינק ידניות</t>
  </si>
  <si>
    <t>מכשיר קשירת משטחים ידני,חצי אוטומטית</t>
  </si>
  <si>
    <t>ציוד</t>
  </si>
  <si>
    <t>מחיר ליחידה כולל מע"מ</t>
  </si>
  <si>
    <t>עלות כוללת למפעל (כולל מע"מ)</t>
  </si>
  <si>
    <t>ציוד למטבח</t>
  </si>
  <si>
    <t>ציוד מטבח</t>
  </si>
  <si>
    <t>ציוד למטבח מחמם בלבד</t>
  </si>
  <si>
    <t>ארונות אחסנה  - ארון מדפים ,2 דלתות - ממתכת</t>
  </si>
  <si>
    <t>עגלת חימום למגשים (נירוסטה) - עגלת חימום / קרור</t>
  </si>
  <si>
    <t>תקציב</t>
  </si>
  <si>
    <t>ריהוט חצר ופינות המתנה</t>
  </si>
  <si>
    <t>כמות למפעל</t>
  </si>
  <si>
    <t>ריהוט פינת המתנה</t>
  </si>
  <si>
    <t>סט</t>
  </si>
  <si>
    <t>הצללה לחלונות</t>
  </si>
  <si>
    <t>מ"ר</t>
  </si>
  <si>
    <t>סה"כ כמות נדרשת במ"ר</t>
  </si>
  <si>
    <t>ציוד שונות</t>
  </si>
  <si>
    <t>תמונות</t>
  </si>
  <si>
    <t>ארון תצוגה</t>
  </si>
  <si>
    <t>שעון נוכחות</t>
  </si>
  <si>
    <t>עיצוב פנים</t>
  </si>
  <si>
    <t xml:space="preserve">ציוד אבטחה ובטיחות </t>
  </si>
  <si>
    <t>מכונה לשטיפת ריצפה</t>
  </si>
  <si>
    <t>מערכת אבטחה במעגל סגור</t>
  </si>
  <si>
    <t>מערכת כריזת חירום</t>
  </si>
  <si>
    <t xml:space="preserve">תקציב </t>
  </si>
  <si>
    <t>מחיר לפריט כולל מע"מ</t>
  </si>
  <si>
    <t>סך עלות כולל מע"מ</t>
  </si>
  <si>
    <t xml:space="preserve">מתקן נייר טואלט כפול </t>
  </si>
  <si>
    <t>פח אשפה</t>
  </si>
  <si>
    <t xml:space="preserve">סבונייה תלויה </t>
  </si>
  <si>
    <t>מתקן מגבות נייר</t>
  </si>
  <si>
    <t>מראה</t>
  </si>
  <si>
    <t>מתקן ניקוי אסלה</t>
  </si>
  <si>
    <t>מחשב קומפלט כולל תוכנה</t>
  </si>
  <si>
    <t xml:space="preserve">מדפסת משולבת </t>
  </si>
  <si>
    <t>מערכת הגברה</t>
  </si>
  <si>
    <t>סולם</t>
  </si>
  <si>
    <t>ארגז כלים</t>
  </si>
  <si>
    <t xml:space="preserve">ציוד לתחזוקת חצר  וגינון </t>
  </si>
  <si>
    <t>דיפיבריליאטור</t>
  </si>
  <si>
    <t>תיק עזרה ראשונה</t>
  </si>
  <si>
    <t>שילוט למפעל חיצוני</t>
  </si>
  <si>
    <t>שילוט פנימי -אזורי עבודה, מחסן, חדר אוכל ועוד</t>
  </si>
  <si>
    <t>בתכנון הרכש יש להתייחס לתקני איכות ובטיחות עדכניים.</t>
  </si>
  <si>
    <t>האם מצורפת תכנית עסקית?</t>
  </si>
  <si>
    <t>כתובת הגוף המבקש:</t>
  </si>
  <si>
    <t>תקן- ציוד ריהוט</t>
  </si>
  <si>
    <t>תקן- אמצעי שינוע</t>
  </si>
  <si>
    <t>שטח איזורי הצללה נדרשים במ"ר:</t>
  </si>
  <si>
    <t>תקן- מערכות אחסנה</t>
  </si>
  <si>
    <t>תקן- ריהוט חצר ופינות המתנה</t>
  </si>
  <si>
    <t>תקן- הצללה לחלונות- יש לבחור אחד מבין השניים:</t>
  </si>
  <si>
    <t>תקן- אמצעי עזר לייצור- מכונות וכלי עבודה</t>
  </si>
  <si>
    <t>תקן- ציוד למטבח</t>
  </si>
  <si>
    <t>תקן- ציוד שונות</t>
  </si>
  <si>
    <t>חלק א</t>
  </si>
  <si>
    <t>חלק ב</t>
  </si>
  <si>
    <t>תקן- כלי עבודה חשמליים וידניים</t>
  </si>
  <si>
    <t>כמות מבוקשת במטר רץ</t>
  </si>
  <si>
    <t>כמות מבוקשת במ"ר</t>
  </si>
  <si>
    <t xml:space="preserve">מתקן שתיה - תמי 4, מי עדן </t>
  </si>
  <si>
    <t>חלק ג</t>
  </si>
  <si>
    <t>ציוד ריהוט</t>
  </si>
  <si>
    <t>כלי עבודה חשמלים וידניים</t>
  </si>
  <si>
    <t>כמות קיימת</t>
  </si>
  <si>
    <t>ציוד קיים במפעל</t>
  </si>
  <si>
    <t>מצב הציוד וכשירותו- במידה וקיים נא לבחור את האפשרות המתאימה</t>
  </si>
  <si>
    <t>כמות קיימת במ"ר</t>
  </si>
  <si>
    <t>תקציב חד פעמי למעצב פנים</t>
  </si>
  <si>
    <t>סך עלות מאושרת</t>
  </si>
  <si>
    <t>כמות מאושרת במטר רץ</t>
  </si>
  <si>
    <t>כמות קיימת במטר רץ</t>
  </si>
  <si>
    <t>כמות מאושרת במ"ר</t>
  </si>
  <si>
    <t xml:space="preserve">הקרן לפיתוח שירותים לנכים </t>
  </si>
  <si>
    <t>תיאור הצורך בפריט/בציוד</t>
  </si>
  <si>
    <t>הצעת מחיר ב' (ב - ₪, כולל מע"מ)</t>
  </si>
  <si>
    <t>ציוד יעודי</t>
  </si>
  <si>
    <t>ח.פ./ מס/ עמותה של הגוף המבקש:</t>
  </si>
  <si>
    <t>מערכת התרעה נגד אש</t>
  </si>
  <si>
    <t>שעון קיר</t>
  </si>
  <si>
    <t>עגלת ניקיון</t>
  </si>
  <si>
    <t>לוח מודעות</t>
  </si>
  <si>
    <t xml:space="preserve">תנור בישול </t>
  </si>
  <si>
    <t>לפי 6 מקבלי שירות לשולחן חדר אוכל  סטנדרטי בהנחה שיש משמרת אחת, במידה ויש 2 משמרות נדרש 50% מהכמות המחושבת הרגילה</t>
  </si>
  <si>
    <t>מלגזה - חשמלית 2.5 טון</t>
  </si>
  <si>
    <t>עגלת משטחים הידראולית כושר הרמה – 2,500 ק"ג גלגל כפול אוקולון/פוליאוריטן</t>
  </si>
  <si>
    <t>עגלת משטחים חשמלית - עד 2 טון , מעצור אלקרו-מגנטי המותקן ישירות על ציר המנוע, מפסק עצירת חירום</t>
  </si>
  <si>
    <t>עגלה דו מצבית מקצועית מאלומיניום עד 350 ק"ג גלגלי גומי</t>
  </si>
  <si>
    <t xml:space="preserve"> מיקרוגל </t>
  </si>
  <si>
    <t>מכונות הלחמת ניילון ידניות</t>
  </si>
  <si>
    <t>מלחם חשמלי/מלחם גז מקצועי עם הספקים משתנים</t>
  </si>
  <si>
    <t>ריהוט חצר + פינת עישון</t>
  </si>
  <si>
    <t>סה"כ תקציב מאושר על ידי מנהל התכנית</t>
  </si>
  <si>
    <t>סך עלות מבוקשת</t>
  </si>
  <si>
    <t>סך עלות מאושרת כולל מע"מ</t>
  </si>
  <si>
    <t>פרטי הגוף המבקש</t>
  </si>
  <si>
    <t>איש קשר בגוף המבקש:</t>
  </si>
  <si>
    <t>טלפון איש קשר בגוף המבקש:</t>
  </si>
  <si>
    <t>מייל איש קשר בגוף המבקש:</t>
  </si>
  <si>
    <t>הערות והסברים למילוי הבקשה:</t>
  </si>
  <si>
    <t>נא למלא את השאלון לעיל לפני מעבר לכתב הכמויות</t>
  </si>
  <si>
    <t>כל מחירי התקן כוללים מע"מ בשיעור של 17%</t>
  </si>
  <si>
    <t xml:space="preserve">נא להתייחס אך ורק לרכישת הציוד החסר להפעלת התוכנית </t>
  </si>
  <si>
    <t>המחירים כוללים הובלה והתקנה של הציוד</t>
  </si>
  <si>
    <t>האם הגוף המבקש הינו גוף פרטי?</t>
  </si>
  <si>
    <t>שאלון למילוי ע"י  מגיש הבקשה</t>
  </si>
  <si>
    <t xml:space="preserve">כסאות </t>
  </si>
  <si>
    <t>ארון אישי "לוקר"</t>
  </si>
  <si>
    <t>כורסאות + שולחן המתנה/ פינת המתנה</t>
  </si>
  <si>
    <t>ציוד ואביזרים כלליים</t>
  </si>
  <si>
    <t>דירוג סוציואקונומי של הישוב:</t>
  </si>
  <si>
    <t>לאישור הוועדה</t>
  </si>
  <si>
    <t>תחום פעילות/ קבוצת ההוצאות</t>
  </si>
  <si>
    <t>פירוט הציוד/הפריט</t>
  </si>
  <si>
    <t>הצעת מחיר א' (ב - ₪ כולל מע"מ)</t>
  </si>
  <si>
    <t>סה"כ מחיר לפי ההצעה הזולה (ב - ₪, כולל מע"מ)</t>
  </si>
  <si>
    <t>תקציב מאושר</t>
  </si>
  <si>
    <t>מימון ביטוח לאומי מקסימלי לפי קול קורא</t>
  </si>
  <si>
    <t>טלוויזיה 65" + מגן + מתקן תליה</t>
  </si>
  <si>
    <t>מערכת אחסנה, קלה בינונית כולל הובלה והתקנה</t>
  </si>
  <si>
    <t xml:space="preserve">מקדחה חשמלית </t>
  </si>
  <si>
    <t xml:space="preserve">מברגה חשמלית 
</t>
  </si>
  <si>
    <t xml:space="preserve">סט מברגים
</t>
  </si>
  <si>
    <t>סט כלים</t>
  </si>
  <si>
    <t xml:space="preserve">פלייר/קאטר 
</t>
  </si>
  <si>
    <t xml:space="preserve">פטיש טפסן חזק ידית פיבר </t>
  </si>
  <si>
    <t xml:space="preserve">פטיש מקצועי 5 ק''''ג 
</t>
  </si>
  <si>
    <t>הצעת מחיר ג' (ב - ₪, כולל מע"מ)</t>
  </si>
  <si>
    <t>עגלת שינוע ייעודית למפעל בייצור ע"פ מפרט</t>
  </si>
  <si>
    <t>כלי מטבח והגשה + סט כלי אוכל (לפי 400 ₪ לאדם)</t>
  </si>
  <si>
    <t>יש לרשום ציוד נוסף שאינו מופיע בתקן ולצרף 2 הצעות מחיר לציוד בעלות עד 20,000 ₪ ו-3 הצעות מחיר לסכום גבוה יותר</t>
  </si>
  <si>
    <t>הציוד בתקן נחלק לשני סוגים:</t>
  </si>
  <si>
    <t>הבהרות והנחיות</t>
  </si>
  <si>
    <t>הסיוע ניתן בהתאם למספר מקבלי השירות במסגרת, גודל המסגרת, מאפייניה  וצרכיה.</t>
  </si>
  <si>
    <t>הסכומים בתקן כוללים עלויות הובלה והתקנת הציוד.</t>
  </si>
  <si>
    <t>הסכומים בתקן כוללים מע"מ.</t>
  </si>
  <si>
    <t>הגשת הבקשה להצטיידות כפופה לתנאי הסף המופיעים בקול קורא ולהיקף הסיוע המוגדר בקול קורא</t>
  </si>
  <si>
    <t>תקן זה נועד להקל ולפשט את תהליך הגשת הבקשות לקרן  לסיוע במימון ההצטיידות.</t>
  </si>
  <si>
    <t>תריס אלומיניום או וילונות בד חסין אש כולל התקנה</t>
  </si>
  <si>
    <t xml:space="preserve">מ' רץ </t>
  </si>
  <si>
    <t>פרטי המסגרת</t>
  </si>
  <si>
    <t>מאפייני המסגרת</t>
  </si>
  <si>
    <r>
      <t xml:space="preserve">הגוף המבקש מתבקש למלא פרטים </t>
    </r>
    <r>
      <rPr>
        <u/>
        <sz val="11"/>
        <rFont val="Times New Roman"/>
        <family val="1"/>
      </rPr>
      <t xml:space="preserve">רק </t>
    </r>
    <r>
      <rPr>
        <sz val="11"/>
        <rFont val="Times New Roman"/>
        <family val="1"/>
      </rPr>
      <t>בתאים המסומנים בצבע ורוד . אין לגעת בתאים אחרים.</t>
    </r>
  </si>
  <si>
    <t>סיכום בקשה להצטיידות - מסגרות תעסוקה מוגנת</t>
  </si>
  <si>
    <t xml:space="preserve">שולחנות עבודה </t>
  </si>
  <si>
    <t>מיחם אוטומטי 6 / 10 ליטר</t>
  </si>
  <si>
    <t>מדיח כלים תעשייתי/ חצי תעשייתי</t>
  </si>
  <si>
    <r>
      <t xml:space="preserve">הגוף המגיש חייב למלא את </t>
    </r>
    <r>
      <rPr>
        <u/>
        <sz val="12"/>
        <rFont val="Times New Roman"/>
        <family val="1"/>
      </rPr>
      <t>כל</t>
    </r>
    <r>
      <rPr>
        <sz val="12"/>
        <rFont val="Times New Roman"/>
        <family val="1"/>
      </rPr>
      <t xml:space="preserve"> הפרטים  הנדרשים בגיליון "שאלון למילוי הגוף". על פיו נגזרים הכמויות והסכומים לכל המסגרת.</t>
    </r>
  </si>
  <si>
    <t>כתובת המסגרת:</t>
  </si>
  <si>
    <t>סוג המסגרת:</t>
  </si>
  <si>
    <t>איש קשר במסגרת:</t>
  </si>
  <si>
    <t>מייל איש קשר במסגרת:</t>
  </si>
  <si>
    <t>שטח המסגרת במ"ר:</t>
  </si>
  <si>
    <t>יש למלא את התאים בצבע ורוד בלבד</t>
  </si>
  <si>
    <t>שם המסגרת:</t>
  </si>
  <si>
    <t>האם קו עימות?</t>
  </si>
  <si>
    <t xml:space="preserve">מקרר ביתי/ תעשייתי </t>
  </si>
  <si>
    <t>אביזרי סנטריה</t>
  </si>
  <si>
    <t>ציוד עזרה ראשונה</t>
  </si>
  <si>
    <t>שילוט פנים</t>
  </si>
  <si>
    <t xml:space="preserve"> אחזקת מבנה</t>
  </si>
  <si>
    <t xml:space="preserve">ציוד מולטימדיה  כללי </t>
  </si>
  <si>
    <t>סכום מקסימלי לפי קול קורא (למילוי מנהלת התוכנית)</t>
  </si>
  <si>
    <t>סכום מימון מקסימלי בהתאם לקול קורא</t>
  </si>
  <si>
    <t>מימון מאושר - הנמוך מביניהם - על פי דרוג סוציואקונומי או תקציב סיוע מקסימלי בקול קורא או תקציב לגוף פרטי</t>
  </si>
  <si>
    <t>אישור מנהלת התכנית</t>
  </si>
  <si>
    <t>המלצת מנהלת התוכנית</t>
  </si>
  <si>
    <t>הערות מנהלת התוכנית</t>
  </si>
  <si>
    <t>מסגרות התעסוקה המוגנת  הן מסגרות מקדמות תעסוקה וככאלה עליהן לשקף את הנעשה בעולם העבודה. לשם כך, נדרש להכניס למסגרות אלה ציוד ומיכון מתקדמים לצורך פיתוח ושיפור קווים ותהליכי ייצור ולצורך הדמיה עד כמה שאפשר לשוק החופשי.</t>
  </si>
  <si>
    <r>
      <t>מטרות רכישת הציוד</t>
    </r>
    <r>
      <rPr>
        <sz val="12"/>
        <rFont val="Times New Roman"/>
        <family val="1"/>
      </rPr>
      <t>: הגדלה והרחבת ההתנסויות במגוון תעסוקות במסגרת ,   שיפור הגמול שמקבלים מקבלי השרות עבור העבודה,  שיפור תהליכים פנים מפעליים, שיפור תנאי ורווחת העבודה במקום ושיפור תהליכי שיקום למטרת השמה בשוק העבודה</t>
    </r>
  </si>
  <si>
    <r>
      <rPr>
        <u/>
        <sz val="12"/>
        <rFont val="Times New Roman"/>
        <family val="1"/>
      </rPr>
      <t>ריהוט וציוד בסיסי</t>
    </r>
    <r>
      <rPr>
        <sz val="12"/>
        <rFont val="Times New Roman"/>
        <family val="1"/>
      </rPr>
      <t xml:space="preserve"> המפורט במסמך זה ונדרש לצורך הפעלה בסיסית ברוב המסגרות . על כל מסגרת למלא את הפריטים שהיא רוצה לרכוש ולמלא גם את טור המצב הקיים, בהתייחס לאותם פריטים  מבוקשים.</t>
    </r>
  </si>
  <si>
    <r>
      <rPr>
        <u/>
        <sz val="12"/>
        <rFont val="Times New Roman"/>
        <family val="1"/>
      </rPr>
      <t>ציוד ייעודי ומקצועי</t>
    </r>
    <r>
      <rPr>
        <sz val="12"/>
        <rFont val="Times New Roman"/>
        <family val="1"/>
      </rPr>
      <t xml:space="preserve"> הנדרש לפיתוח או שדרוג קווי יצור ייחודיים בהתאם לאופי המסגרת התעסוקתית.  פריטי ציוד  אלה,  יש לציין בגיליון "הציוד הייעודי". (במידה וסכום הפריט הינו עד 20,000 ₪ יש לציין שתי הצעות מחיר ושלוש לסכום גבוה יותר.)</t>
    </r>
  </si>
  <si>
    <t>טלפון איש קשר במסגרת:</t>
  </si>
  <si>
    <t xml:space="preserve">תיאור הציוד: הציוד להלן משתנה בחלקו לפי מספר מקבלי השירות במסגרת - עד 30, מ-31 עד 60, 61 ומעלה </t>
  </si>
  <si>
    <t>אזורים שיתכנו: כניסה , אולמות עבודה ,חדר אוכל וכו'</t>
  </si>
  <si>
    <t>אחוז מימון מקסימלי לפי דירוג סוציואקונומי, לפי קו עימות  ולפי מיגבלת גוף פרטי, הנמוך מביניהם (ללא התחשבות בתקציב הסיוע המקסימלי בקול קורא)</t>
  </si>
  <si>
    <t>מאשר</t>
  </si>
  <si>
    <t>כמות מקבלי השירות הקיימת במסגרת:</t>
  </si>
  <si>
    <t xml:space="preserve">מחושב אוטומטית לפי 20% משטח רצפה    </t>
  </si>
  <si>
    <r>
      <t xml:space="preserve">כמות מקבלי השירות </t>
    </r>
    <r>
      <rPr>
        <u/>
        <sz val="11"/>
        <rFont val="Times New Roman"/>
        <family val="1"/>
      </rPr>
      <t>המתוכננת</t>
    </r>
    <r>
      <rPr>
        <sz val="11"/>
        <rFont val="Times New Roman"/>
        <family val="1"/>
      </rPr>
      <t xml:space="preserve"> במסגרת:</t>
    </r>
  </si>
  <si>
    <t>חובה למלא</t>
  </si>
  <si>
    <t>שולחן עבודה ל-3 מקבלי שירות בממוצע, לפי מספר מקבלי השירות, בתוספת 20% (ניתן לשלב בין מספר סוגי שולחנות ובלבד שכמות השולחנות לא תעלה על הכמות בתקן המחושבת לפי מספר מקבלי השירות והמקומות בכל שולחן)</t>
  </si>
  <si>
    <t>כסא חדר אוכל - 1 למקבל השירות בהנחה שיש משמרת אחת במידה ויש 2 משמרות נדרש 50% מהכמות המחושבת הרגילה</t>
  </si>
  <si>
    <t>מעמד אחד לכל 25 מקבלי השירות</t>
  </si>
  <si>
    <t>שולחן גן - 1 ל-10 מקבלי השירות</t>
  </si>
  <si>
    <t>כסא גן - 1 ל-4 מקבלי השירות</t>
  </si>
  <si>
    <t>ספסל גן - 1 ל-10 מקבלי השירות</t>
  </si>
  <si>
    <t>שימשיה - שמשיה קוטר 3 מ' עגולה  - 1 ל-10 מקבלי השירות</t>
  </si>
  <si>
    <t>סך עלות מבוקשת כולל מע"מ</t>
  </si>
  <si>
    <t>סה"כ עלות בקשת הגוף</t>
  </si>
  <si>
    <t xml:space="preserve">תקן הצטיידות למסגרות תעסוקה מוגנת   - ינואר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</si>
</sst>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0_ ;[Red]\-#,##0\ "/>
  </numFmts>
  <fonts count="29" x14ac:knownFonts="1">
    <font>
      <sz val="11"/>
      <color theme="1"/>
      <name val="Arial"/>
      <family val="2"/>
      <charset val="177"/>
      <scheme val="minor"/>
    </font>
    <font>
      <sz val="11"/>
      <color theme="1"/>
      <name val="Arial"/>
      <family val="2"/>
      <charset val="177"/>
      <scheme val="minor"/>
    </font>
    <font>
      <sz val="8"/>
      <name val="Arial"/>
      <family val="2"/>
      <charset val="177"/>
      <scheme val="minor"/>
    </font>
    <font>
      <sz val="11"/>
      <name val="Times New Roman"/>
      <family val="1"/>
    </font>
    <font>
      <u/>
      <sz val="11"/>
      <name val="Times New Roman"/>
      <family val="1"/>
    </font>
    <font>
      <sz val="12"/>
      <color theme="1"/>
      <name val="Times New Roman"/>
      <family val="1"/>
      <scheme val="major"/>
    </font>
    <font>
      <sz val="11"/>
      <color theme="1"/>
      <name val="Times New Roman"/>
      <family val="1"/>
    </font>
    <font>
      <b/>
      <sz val="11"/>
      <color theme="1"/>
      <name val="Times New Roman"/>
      <family val="1"/>
    </font>
    <font>
      <sz val="11"/>
      <name val="Times New Roman"/>
      <family val="1"/>
      <scheme val="major"/>
    </font>
    <font>
      <sz val="11"/>
      <color theme="1"/>
      <name val="Times New Roman"/>
      <family val="1"/>
      <scheme val="major"/>
    </font>
    <font>
      <b/>
      <sz val="11"/>
      <color rgb="FFFF0000"/>
      <name val="Times New Roman"/>
      <family val="1"/>
      <scheme val="major"/>
    </font>
    <font>
      <u/>
      <sz val="11"/>
      <color theme="10"/>
      <name val="Arial"/>
      <family val="2"/>
      <charset val="177"/>
      <scheme val="minor"/>
    </font>
    <font>
      <sz val="11"/>
      <color rgb="FFFF0000"/>
      <name val="Times New Roman"/>
      <family val="1"/>
    </font>
    <font>
      <sz val="12"/>
      <name val="Times New Roman"/>
      <family val="1"/>
    </font>
    <font>
      <sz val="12"/>
      <name val="Times New Roman"/>
      <family val="1"/>
      <scheme val="major"/>
    </font>
    <font>
      <b/>
      <sz val="12"/>
      <name val="Times New Roman"/>
      <family val="1"/>
    </font>
    <font>
      <b/>
      <sz val="14"/>
      <name val="Times New Roman"/>
      <family val="1"/>
    </font>
    <font>
      <u/>
      <sz val="12"/>
      <name val="Times New Roman"/>
      <family val="1"/>
    </font>
    <font>
      <b/>
      <u/>
      <sz val="12"/>
      <name val="Times New Roman"/>
      <family val="1"/>
    </font>
    <font>
      <b/>
      <sz val="12"/>
      <color rgb="FF800000"/>
      <name val="Times New Roman"/>
      <family val="1"/>
      <scheme val="major"/>
    </font>
    <font>
      <b/>
      <sz val="12"/>
      <color rgb="FF800000"/>
      <name val="Times New Roman"/>
      <family val="1"/>
    </font>
    <font>
      <sz val="12"/>
      <color rgb="FF800000"/>
      <name val="Times New Roman"/>
      <family val="1"/>
    </font>
    <font>
      <b/>
      <sz val="16"/>
      <color rgb="FF800000"/>
      <name val="Times New Roman"/>
      <family val="1"/>
    </font>
    <font>
      <b/>
      <sz val="11"/>
      <color rgb="FFC00000"/>
      <name val="Times New Roman"/>
      <family val="1"/>
      <scheme val="major"/>
    </font>
    <font>
      <b/>
      <sz val="12"/>
      <name val="Times New Roman"/>
      <family val="1"/>
      <scheme val="major"/>
    </font>
    <font>
      <b/>
      <sz val="16"/>
      <name val="Times New Roman"/>
      <family val="1"/>
      <scheme val="major"/>
    </font>
    <font>
      <b/>
      <u/>
      <sz val="18"/>
      <color rgb="FF800000"/>
      <name val="Times New Roman"/>
      <family val="1"/>
    </font>
    <font>
      <b/>
      <sz val="11"/>
      <name val="Times New Roman"/>
      <family val="1"/>
    </font>
    <font>
      <b/>
      <sz val="11"/>
      <name val="Times New Roman"/>
      <family val="1"/>
      <scheme val="maj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cellStyleXfs>
  <cellXfs count="237">
    <xf numFmtId="0" fontId="0" fillId="0" borderId="0" xfId="0"/>
    <xf numFmtId="0" fontId="3" fillId="4" borderId="1" xfId="0"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38" fontId="6" fillId="0" borderId="1" xfId="1" applyNumberFormat="1" applyFont="1" applyBorder="1" applyAlignment="1" applyProtection="1">
      <alignment horizontal="right" vertical="center"/>
    </xf>
    <xf numFmtId="164" fontId="6" fillId="3" borderId="1" xfId="1" applyNumberFormat="1" applyFont="1" applyFill="1" applyBorder="1" applyAlignment="1" applyProtection="1">
      <alignment vertical="center"/>
      <protection locked="0"/>
    </xf>
    <xf numFmtId="38" fontId="6" fillId="0" borderId="1" xfId="1" applyNumberFormat="1" applyFont="1" applyFill="1" applyBorder="1" applyProtection="1"/>
    <xf numFmtId="38" fontId="6" fillId="0" borderId="1" xfId="1" applyNumberFormat="1" applyFont="1" applyBorder="1" applyProtection="1"/>
    <xf numFmtId="164" fontId="6" fillId="3" borderId="1" xfId="1" applyNumberFormat="1" applyFont="1" applyFill="1" applyBorder="1" applyProtection="1">
      <protection locked="0"/>
    </xf>
    <xf numFmtId="9" fontId="6" fillId="3" borderId="1" xfId="0" applyNumberFormat="1" applyFont="1" applyFill="1" applyBorder="1" applyProtection="1">
      <protection locked="0"/>
    </xf>
    <xf numFmtId="0" fontId="6" fillId="2" borderId="0" xfId="0" applyFont="1" applyFill="1" applyProtection="1"/>
    <xf numFmtId="0" fontId="6" fillId="2" borderId="9" xfId="0" applyFont="1" applyFill="1" applyBorder="1" applyProtection="1"/>
    <xf numFmtId="0" fontId="6" fillId="2" borderId="10" xfId="0" applyFont="1" applyFill="1" applyBorder="1" applyProtection="1"/>
    <xf numFmtId="0" fontId="6" fillId="2" borderId="11" xfId="0" applyFont="1" applyFill="1" applyBorder="1" applyProtection="1"/>
    <xf numFmtId="0" fontId="6" fillId="2" borderId="12" xfId="0" applyFont="1" applyFill="1" applyBorder="1" applyProtection="1"/>
    <xf numFmtId="0" fontId="6" fillId="2" borderId="0" xfId="0" applyFont="1" applyFill="1" applyBorder="1" applyProtection="1"/>
    <xf numFmtId="0" fontId="6" fillId="2" borderId="13" xfId="0" applyFont="1" applyFill="1" applyBorder="1" applyProtection="1"/>
    <xf numFmtId="14" fontId="6" fillId="3" borderId="1" xfId="1" applyNumberFormat="1" applyFont="1" applyFill="1" applyBorder="1" applyAlignment="1" applyProtection="1">
      <alignment vertical="center"/>
      <protection locked="0"/>
    </xf>
    <xf numFmtId="0" fontId="6" fillId="3" borderId="1" xfId="1" applyNumberFormat="1" applyFont="1" applyFill="1" applyBorder="1" applyAlignment="1" applyProtection="1">
      <alignment vertical="center"/>
      <protection locked="0"/>
    </xf>
    <xf numFmtId="0" fontId="6" fillId="3" borderId="1" xfId="1" applyNumberFormat="1" applyFont="1" applyFill="1" applyBorder="1" applyAlignment="1" applyProtection="1">
      <alignment horizontal="right" vertical="center"/>
      <protection locked="0"/>
    </xf>
    <xf numFmtId="0" fontId="6" fillId="2" borderId="14" xfId="0" applyFont="1" applyFill="1" applyBorder="1" applyProtection="1"/>
    <xf numFmtId="0" fontId="6" fillId="2" borderId="5" xfId="0" applyFont="1" applyFill="1" applyBorder="1" applyProtection="1"/>
    <xf numFmtId="0" fontId="6" fillId="2" borderId="15" xfId="0" applyFont="1" applyFill="1" applyBorder="1" applyProtection="1"/>
    <xf numFmtId="0" fontId="6" fillId="2" borderId="0" xfId="0" applyFont="1" applyFill="1" applyBorder="1" applyAlignment="1" applyProtection="1">
      <alignment horizontal="right"/>
    </xf>
    <xf numFmtId="0" fontId="6" fillId="2" borderId="0" xfId="0" applyFont="1" applyFill="1" applyBorder="1" applyAlignment="1" applyProtection="1">
      <alignment horizontal="left"/>
    </xf>
    <xf numFmtId="0" fontId="6" fillId="2" borderId="0" xfId="0" applyFont="1" applyFill="1" applyBorder="1" applyAlignment="1" applyProtection="1">
      <alignment horizontal="center"/>
    </xf>
    <xf numFmtId="0" fontId="6" fillId="0" borderId="9" xfId="0" applyFont="1" applyBorder="1" applyProtection="1"/>
    <xf numFmtId="0" fontId="6" fillId="2" borderId="10" xfId="0" applyFont="1" applyFill="1" applyBorder="1" applyAlignment="1" applyProtection="1">
      <alignment horizontal="center"/>
    </xf>
    <xf numFmtId="0" fontId="6" fillId="2" borderId="5" xfId="0" applyFont="1" applyFill="1" applyBorder="1" applyAlignment="1" applyProtection="1">
      <alignment horizontal="center"/>
    </xf>
    <xf numFmtId="164" fontId="6" fillId="3" borderId="1" xfId="1" applyNumberFormat="1" applyFont="1" applyFill="1" applyBorder="1" applyAlignment="1" applyProtection="1">
      <alignment vertical="center"/>
    </xf>
    <xf numFmtId="0" fontId="12" fillId="2" borderId="0" xfId="0" applyFont="1" applyFill="1" applyBorder="1" applyAlignment="1" applyProtection="1">
      <alignment horizontal="right"/>
    </xf>
    <xf numFmtId="165" fontId="6" fillId="0" borderId="1" xfId="1" applyNumberFormat="1" applyFont="1" applyFill="1" applyBorder="1" applyProtection="1"/>
    <xf numFmtId="0" fontId="0" fillId="0" borderId="0" xfId="0" applyProtection="1"/>
    <xf numFmtId="0" fontId="0" fillId="0" borderId="0" xfId="0" applyAlignment="1" applyProtection="1">
      <alignment horizontal="center"/>
    </xf>
    <xf numFmtId="38" fontId="0" fillId="0" borderId="0" xfId="0" applyNumberFormat="1" applyAlignment="1" applyProtection="1">
      <alignment horizontal="right"/>
    </xf>
    <xf numFmtId="0" fontId="8" fillId="0" borderId="0" xfId="0" applyFont="1" applyFill="1" applyProtection="1"/>
    <xf numFmtId="0" fontId="9" fillId="0" borderId="0" xfId="0" applyFont="1" applyFill="1" applyProtection="1"/>
    <xf numFmtId="0" fontId="9" fillId="0" borderId="0" xfId="0" applyFont="1" applyFill="1" applyAlignment="1" applyProtection="1">
      <alignment horizontal="center"/>
    </xf>
    <xf numFmtId="38" fontId="10" fillId="0" borderId="0" xfId="0" applyNumberFormat="1" applyFont="1" applyFill="1" applyAlignment="1" applyProtection="1">
      <alignment horizontal="right"/>
    </xf>
    <xf numFmtId="0" fontId="3" fillId="4" borderId="1" xfId="0" applyFont="1" applyFill="1" applyBorder="1" applyAlignment="1" applyProtection="1">
      <alignment horizontal="center"/>
    </xf>
    <xf numFmtId="0" fontId="6" fillId="0" borderId="0" xfId="0" applyFont="1" applyFill="1" applyProtection="1"/>
    <xf numFmtId="0" fontId="3" fillId="0" borderId="0" xfId="0" applyFont="1" applyAlignment="1" applyProtection="1">
      <alignment horizontal="right"/>
    </xf>
    <xf numFmtId="0" fontId="6" fillId="0" borderId="0" xfId="0" applyFont="1" applyAlignment="1" applyProtection="1">
      <alignment horizontal="right" vertical="center"/>
    </xf>
    <xf numFmtId="0" fontId="6" fillId="0" borderId="0" xfId="0" applyFont="1" applyProtection="1"/>
    <xf numFmtId="38" fontId="6" fillId="3" borderId="0" xfId="0" applyNumberFormat="1" applyFont="1" applyFill="1" applyProtection="1"/>
    <xf numFmtId="38" fontId="6" fillId="0" borderId="0" xfId="0" applyNumberFormat="1" applyFont="1" applyFill="1" applyProtection="1"/>
    <xf numFmtId="0" fontId="6" fillId="0" borderId="0" xfId="0" applyFont="1" applyAlignment="1" applyProtection="1">
      <alignment horizontal="center"/>
    </xf>
    <xf numFmtId="38" fontId="6" fillId="0" borderId="0" xfId="0" applyNumberFormat="1" applyFont="1" applyProtection="1"/>
    <xf numFmtId="0" fontId="6" fillId="0" borderId="0" xfId="0" applyFont="1" applyAlignment="1" applyProtection="1">
      <alignment horizontal="right"/>
    </xf>
    <xf numFmtId="0" fontId="6" fillId="0" borderId="0" xfId="0" applyFont="1" applyAlignment="1" applyProtection="1">
      <alignment horizontal="center" vertical="center"/>
    </xf>
    <xf numFmtId="0" fontId="6" fillId="0" borderId="3" xfId="0" applyFont="1" applyFill="1" applyBorder="1" applyAlignment="1" applyProtection="1">
      <alignment horizontal="center"/>
    </xf>
    <xf numFmtId="0" fontId="6" fillId="0" borderId="4" xfId="0" applyFont="1" applyFill="1" applyBorder="1" applyAlignment="1" applyProtection="1">
      <alignment horizontal="center"/>
    </xf>
    <xf numFmtId="0" fontId="6" fillId="0" borderId="8" xfId="0" applyFont="1" applyFill="1" applyBorder="1" applyAlignment="1" applyProtection="1">
      <alignment horizontal="right" vertical="center"/>
    </xf>
    <xf numFmtId="0" fontId="6" fillId="0" borderId="3" xfId="0" applyFont="1" applyFill="1" applyBorder="1" applyAlignment="1" applyProtection="1">
      <alignment horizontal="right" vertical="center"/>
    </xf>
    <xf numFmtId="0" fontId="6" fillId="0" borderId="4" xfId="0" applyFont="1" applyFill="1" applyBorder="1" applyAlignment="1" applyProtection="1">
      <alignment horizontal="right" vertical="center"/>
    </xf>
    <xf numFmtId="0" fontId="6" fillId="0" borderId="3" xfId="0" applyFont="1" applyFill="1" applyBorder="1" applyAlignment="1" applyProtection="1">
      <alignment horizontal="center" vertical="center"/>
    </xf>
    <xf numFmtId="0" fontId="6" fillId="0" borderId="0" xfId="0" applyFont="1" applyFill="1" applyAlignment="1" applyProtection="1">
      <alignment horizontal="right"/>
    </xf>
    <xf numFmtId="0" fontId="6" fillId="0" borderId="1" xfId="0" applyFont="1" applyBorder="1" applyAlignment="1" applyProtection="1">
      <alignment horizontal="right" vertical="top" wrapText="1"/>
    </xf>
    <xf numFmtId="164" fontId="6" fillId="0" borderId="1" xfId="0" applyNumberFormat="1" applyFont="1" applyFill="1" applyBorder="1" applyAlignment="1" applyProtection="1">
      <alignment horizontal="center" vertical="center"/>
    </xf>
    <xf numFmtId="9" fontId="6" fillId="0" borderId="1" xfId="1" applyNumberFormat="1" applyFont="1" applyFill="1" applyBorder="1" applyAlignment="1" applyProtection="1">
      <alignment vertical="center"/>
    </xf>
    <xf numFmtId="3" fontId="6" fillId="0" borderId="1" xfId="1" applyNumberFormat="1" applyFont="1" applyFill="1" applyBorder="1" applyAlignment="1" applyProtection="1">
      <alignment horizontal="right" vertical="center"/>
    </xf>
    <xf numFmtId="38" fontId="6" fillId="0" borderId="1" xfId="0" applyNumberFormat="1" applyFont="1" applyFill="1" applyBorder="1" applyProtection="1"/>
    <xf numFmtId="0" fontId="6" fillId="0" borderId="8" xfId="0" applyFont="1" applyFill="1" applyBorder="1" applyProtection="1"/>
    <xf numFmtId="0" fontId="6" fillId="0" borderId="3" xfId="0" applyFont="1" applyFill="1" applyBorder="1" applyProtection="1"/>
    <xf numFmtId="0" fontId="6" fillId="0" borderId="4" xfId="0" applyFont="1" applyFill="1" applyBorder="1" applyProtection="1"/>
    <xf numFmtId="0" fontId="6" fillId="0" borderId="1" xfId="0" applyFont="1" applyFill="1" applyBorder="1" applyProtection="1"/>
    <xf numFmtId="38" fontId="6" fillId="0" borderId="8" xfId="0" applyNumberFormat="1" applyFont="1" applyFill="1" applyBorder="1" applyProtection="1"/>
    <xf numFmtId="0" fontId="6" fillId="0" borderId="1" xfId="0" applyFont="1" applyFill="1" applyBorder="1" applyAlignment="1" applyProtection="1">
      <alignment horizontal="center"/>
    </xf>
    <xf numFmtId="0" fontId="6" fillId="0" borderId="0" xfId="0" applyFont="1" applyAlignment="1" applyProtection="1">
      <alignment horizontal="right" readingOrder="2"/>
    </xf>
    <xf numFmtId="38" fontId="6" fillId="0" borderId="1" xfId="1" applyNumberFormat="1" applyFont="1" applyBorder="1" applyAlignment="1" applyProtection="1">
      <alignment horizontal="center" vertical="center"/>
    </xf>
    <xf numFmtId="0" fontId="6" fillId="0" borderId="8" xfId="0" applyFont="1" applyFill="1" applyBorder="1" applyAlignment="1" applyProtection="1">
      <alignment horizontal="right"/>
    </xf>
    <xf numFmtId="38" fontId="13" fillId="0" borderId="1" xfId="0" applyNumberFormat="1" applyFont="1" applyFill="1" applyBorder="1" applyAlignment="1" applyProtection="1"/>
    <xf numFmtId="0" fontId="6" fillId="0" borderId="1" xfId="0" applyFont="1" applyFill="1" applyBorder="1" applyAlignment="1" applyProtection="1">
      <alignment horizontal="right" wrapText="1"/>
    </xf>
    <xf numFmtId="38" fontId="6" fillId="0" borderId="1" xfId="0" applyNumberFormat="1" applyFont="1" applyFill="1" applyBorder="1" applyAlignment="1" applyProtection="1">
      <alignment horizontal="right" wrapText="1"/>
    </xf>
    <xf numFmtId="3" fontId="6" fillId="0" borderId="8" xfId="0" applyNumberFormat="1" applyFont="1" applyFill="1" applyBorder="1" applyAlignment="1" applyProtection="1">
      <alignment horizontal="right" wrapText="1"/>
    </xf>
    <xf numFmtId="38" fontId="6" fillId="0" borderId="8" xfId="0" applyNumberFormat="1" applyFont="1" applyFill="1" applyBorder="1" applyAlignment="1" applyProtection="1">
      <alignment horizontal="right" wrapText="1"/>
    </xf>
    <xf numFmtId="0" fontId="6" fillId="0" borderId="0" xfId="0" applyFont="1" applyAlignment="1" applyProtection="1"/>
    <xf numFmtId="3" fontId="6" fillId="0" borderId="1" xfId="0" applyNumberFormat="1" applyFont="1" applyFill="1" applyBorder="1" applyAlignment="1" applyProtection="1">
      <alignment horizontal="right" wrapText="1"/>
    </xf>
    <xf numFmtId="0" fontId="9" fillId="0" borderId="1" xfId="0" applyFont="1" applyFill="1" applyBorder="1" applyAlignment="1" applyProtection="1">
      <alignment horizontal="right" wrapText="1"/>
    </xf>
    <xf numFmtId="0" fontId="9" fillId="0" borderId="0" xfId="0" applyFont="1" applyFill="1" applyAlignment="1" applyProtection="1"/>
    <xf numFmtId="38" fontId="9" fillId="0" borderId="1" xfId="0" applyNumberFormat="1" applyFont="1" applyFill="1" applyBorder="1" applyAlignment="1" applyProtection="1">
      <alignment horizontal="right" wrapText="1"/>
    </xf>
    <xf numFmtId="0" fontId="0" fillId="0" borderId="0" xfId="0" applyAlignment="1" applyProtection="1"/>
    <xf numFmtId="0" fontId="3" fillId="0" borderId="1" xfId="0" applyFont="1" applyFill="1" applyBorder="1" applyAlignment="1" applyProtection="1">
      <alignment horizontal="right" wrapText="1" readingOrder="2"/>
    </xf>
    <xf numFmtId="38" fontId="3" fillId="0" borderId="1" xfId="1" applyNumberFormat="1" applyFont="1" applyFill="1" applyBorder="1" applyAlignment="1" applyProtection="1">
      <alignment horizontal="right"/>
    </xf>
    <xf numFmtId="164" fontId="6" fillId="3" borderId="1" xfId="1" applyNumberFormat="1" applyFont="1" applyFill="1" applyBorder="1" applyAlignment="1" applyProtection="1">
      <alignment horizontal="right"/>
      <protection locked="0"/>
    </xf>
    <xf numFmtId="9" fontId="6" fillId="3" borderId="1" xfId="0" applyNumberFormat="1" applyFont="1" applyFill="1" applyBorder="1" applyAlignment="1" applyProtection="1">
      <alignment horizontal="right"/>
      <protection locked="0"/>
    </xf>
    <xf numFmtId="0" fontId="6" fillId="3" borderId="1" xfId="0" applyFont="1" applyFill="1" applyBorder="1" applyAlignment="1" applyProtection="1">
      <alignment horizontal="right"/>
      <protection locked="0"/>
    </xf>
    <xf numFmtId="9" fontId="6" fillId="0" borderId="1" xfId="1" applyNumberFormat="1" applyFont="1" applyFill="1" applyBorder="1" applyAlignment="1" applyProtection="1">
      <alignment horizontal="right"/>
    </xf>
    <xf numFmtId="38" fontId="6" fillId="0" borderId="1" xfId="1" applyNumberFormat="1" applyFont="1" applyFill="1" applyBorder="1" applyAlignment="1" applyProtection="1">
      <alignment horizontal="right"/>
    </xf>
    <xf numFmtId="0" fontId="6" fillId="0" borderId="1" xfId="0" applyFont="1" applyBorder="1" applyAlignment="1" applyProtection="1">
      <alignment horizontal="right" wrapText="1"/>
    </xf>
    <xf numFmtId="0" fontId="3" fillId="0" borderId="1" xfId="0" applyFont="1" applyBorder="1" applyAlignment="1" applyProtection="1">
      <alignment horizontal="right" wrapText="1"/>
    </xf>
    <xf numFmtId="0" fontId="6" fillId="0" borderId="1" xfId="0" applyFont="1" applyBorder="1" applyAlignment="1" applyProtection="1">
      <alignment horizontal="right"/>
    </xf>
    <xf numFmtId="38" fontId="6" fillId="0" borderId="1" xfId="1" applyNumberFormat="1" applyFont="1" applyBorder="1" applyAlignment="1" applyProtection="1">
      <alignment horizontal="right"/>
    </xf>
    <xf numFmtId="0" fontId="6" fillId="0" borderId="6" xfId="0" applyFont="1" applyBorder="1" applyAlignment="1" applyProtection="1">
      <alignment horizontal="right" wrapText="1"/>
    </xf>
    <xf numFmtId="0" fontId="6" fillId="0" borderId="7" xfId="0" applyFont="1" applyBorder="1" applyAlignment="1" applyProtection="1">
      <alignment horizontal="right" wrapText="1"/>
    </xf>
    <xf numFmtId="2" fontId="6" fillId="0" borderId="1" xfId="0" applyNumberFormat="1" applyFont="1" applyBorder="1" applyAlignment="1" applyProtection="1">
      <alignment horizontal="right"/>
    </xf>
    <xf numFmtId="0" fontId="3" fillId="0" borderId="6" xfId="0" applyFont="1" applyFill="1" applyBorder="1" applyAlignment="1" applyProtection="1">
      <alignment horizontal="right" wrapText="1"/>
    </xf>
    <xf numFmtId="0" fontId="15" fillId="0" borderId="0" xfId="0" applyFont="1" applyFill="1" applyAlignment="1" applyProtection="1"/>
    <xf numFmtId="0" fontId="13" fillId="0" borderId="0" xfId="0" applyFont="1" applyFill="1" applyAlignment="1" applyProtection="1"/>
    <xf numFmtId="0" fontId="13" fillId="0" borderId="1" xfId="0" applyFont="1" applyFill="1" applyBorder="1" applyAlignment="1" applyProtection="1"/>
    <xf numFmtId="0" fontId="13" fillId="0" borderId="1" xfId="0" applyFont="1" applyFill="1" applyBorder="1" applyAlignment="1" applyProtection="1">
      <alignment wrapText="1"/>
    </xf>
    <xf numFmtId="0" fontId="13" fillId="0" borderId="0" xfId="0" applyFont="1" applyFill="1" applyBorder="1" applyAlignment="1" applyProtection="1"/>
    <xf numFmtId="9" fontId="13" fillId="0" borderId="0" xfId="0" applyNumberFormat="1" applyFont="1" applyFill="1" applyBorder="1" applyAlignment="1" applyProtection="1"/>
    <xf numFmtId="38" fontId="13" fillId="0" borderId="0" xfId="0" applyNumberFormat="1" applyFont="1" applyFill="1" applyAlignment="1" applyProtection="1"/>
    <xf numFmtId="38" fontId="13" fillId="0" borderId="1" xfId="1" applyNumberFormat="1" applyFont="1" applyFill="1" applyBorder="1" applyAlignment="1" applyProtection="1"/>
    <xf numFmtId="38" fontId="13" fillId="0" borderId="0" xfId="1" applyNumberFormat="1" applyFont="1" applyFill="1" applyBorder="1" applyAlignment="1" applyProtection="1"/>
    <xf numFmtId="164" fontId="6" fillId="3" borderId="1" xfId="1" applyNumberFormat="1" applyFont="1" applyFill="1" applyBorder="1" applyAlignment="1" applyProtection="1">
      <protection locked="0"/>
    </xf>
    <xf numFmtId="165" fontId="9" fillId="0" borderId="1" xfId="1" applyNumberFormat="1" applyFont="1" applyFill="1" applyBorder="1" applyAlignment="1" applyProtection="1">
      <alignment horizontal="right"/>
    </xf>
    <xf numFmtId="38" fontId="9" fillId="0" borderId="1" xfId="1" applyNumberFormat="1" applyFont="1" applyFill="1" applyBorder="1" applyAlignment="1" applyProtection="1">
      <alignment horizontal="right"/>
    </xf>
    <xf numFmtId="0" fontId="9" fillId="0" borderId="8" xfId="0" applyFont="1" applyFill="1" applyBorder="1" applyAlignment="1" applyProtection="1">
      <alignment horizontal="center"/>
    </xf>
    <xf numFmtId="0" fontId="9" fillId="0" borderId="3" xfId="0" applyFont="1" applyFill="1" applyBorder="1" applyAlignment="1" applyProtection="1">
      <alignment horizontal="center"/>
    </xf>
    <xf numFmtId="0" fontId="9" fillId="0" borderId="4" xfId="0" applyFont="1" applyFill="1" applyBorder="1" applyAlignment="1" applyProtection="1">
      <alignment horizontal="center"/>
    </xf>
    <xf numFmtId="165" fontId="9" fillId="0" borderId="1" xfId="0" applyNumberFormat="1" applyFont="1" applyFill="1" applyBorder="1" applyAlignment="1" applyProtection="1">
      <alignment horizontal="right"/>
    </xf>
    <xf numFmtId="38" fontId="9" fillId="0" borderId="0" xfId="0" applyNumberFormat="1" applyFont="1" applyFill="1" applyAlignment="1" applyProtection="1"/>
    <xf numFmtId="38" fontId="9" fillId="0" borderId="1" xfId="0" applyNumberFormat="1" applyFont="1" applyFill="1" applyBorder="1" applyAlignment="1" applyProtection="1">
      <alignment horizontal="right"/>
    </xf>
    <xf numFmtId="38" fontId="9" fillId="0" borderId="1" xfId="0" applyNumberFormat="1" applyFont="1" applyFill="1" applyBorder="1" applyAlignment="1" applyProtection="1">
      <alignment horizontal="center"/>
    </xf>
    <xf numFmtId="0" fontId="16" fillId="0" borderId="0" xfId="0" applyFont="1"/>
    <xf numFmtId="0" fontId="13" fillId="0" borderId="0" xfId="0" applyFont="1"/>
    <xf numFmtId="0" fontId="15" fillId="0" borderId="0" xfId="0" applyFont="1"/>
    <xf numFmtId="0" fontId="3" fillId="0" borderId="0" xfId="0" applyFont="1" applyFill="1" applyBorder="1" applyProtection="1"/>
    <xf numFmtId="0" fontId="3" fillId="0" borderId="0" xfId="0" applyFont="1" applyFill="1" applyProtection="1"/>
    <xf numFmtId="0" fontId="3" fillId="0" borderId="0" xfId="0" applyFont="1" applyFill="1" applyBorder="1" applyAlignment="1" applyProtection="1">
      <alignment horizontal="right"/>
    </xf>
    <xf numFmtId="0" fontId="3" fillId="0" borderId="10" xfId="0" applyFont="1" applyFill="1" applyBorder="1" applyProtection="1"/>
    <xf numFmtId="0" fontId="3" fillId="0" borderId="5" xfId="0" applyFont="1" applyFill="1" applyBorder="1" applyProtection="1"/>
    <xf numFmtId="0" fontId="13" fillId="0" borderId="9" xfId="0" applyFont="1" applyBorder="1"/>
    <xf numFmtId="0" fontId="13" fillId="0" borderId="11" xfId="0" applyFont="1" applyBorder="1" applyAlignment="1">
      <alignment horizontal="center" wrapText="1"/>
    </xf>
    <xf numFmtId="0" fontId="13" fillId="0" borderId="12" xfId="0" applyFont="1" applyBorder="1"/>
    <xf numFmtId="0" fontId="13" fillId="0" borderId="13" xfId="0" applyFont="1" applyBorder="1"/>
    <xf numFmtId="0" fontId="13" fillId="0" borderId="13" xfId="0" applyFont="1" applyBorder="1" applyAlignment="1">
      <alignment horizontal="center" wrapText="1"/>
    </xf>
    <xf numFmtId="0" fontId="16" fillId="0" borderId="12" xfId="0" applyFont="1" applyBorder="1"/>
    <xf numFmtId="0" fontId="16" fillId="0" borderId="13" xfId="0" applyFont="1" applyBorder="1" applyAlignment="1">
      <alignment horizontal="center" wrapText="1"/>
    </xf>
    <xf numFmtId="0" fontId="15" fillId="0" borderId="12" xfId="0" applyFont="1" applyBorder="1"/>
    <xf numFmtId="0" fontId="15" fillId="0" borderId="13" xfId="0" applyFont="1" applyBorder="1" applyAlignment="1">
      <alignment horizontal="center" wrapText="1"/>
    </xf>
    <xf numFmtId="0" fontId="17" fillId="0" borderId="13" xfId="0" applyFont="1" applyBorder="1" applyAlignment="1">
      <alignment horizontal="right" vertical="center" wrapText="1" readingOrder="2"/>
    </xf>
    <xf numFmtId="0" fontId="13" fillId="0" borderId="13" xfId="0" applyFont="1" applyBorder="1" applyAlignment="1">
      <alignment horizontal="right" vertical="center" wrapText="1" readingOrder="2"/>
    </xf>
    <xf numFmtId="0" fontId="15" fillId="0" borderId="13" xfId="0" applyFont="1" applyBorder="1" applyAlignment="1">
      <alignment horizontal="right" vertical="center" wrapText="1" readingOrder="2"/>
    </xf>
    <xf numFmtId="0" fontId="18" fillId="0" borderId="13" xfId="0" applyFont="1" applyBorder="1" applyAlignment="1">
      <alignment horizontal="right" vertical="center" wrapText="1" readingOrder="2"/>
    </xf>
    <xf numFmtId="0" fontId="13" fillId="0" borderId="14" xfId="0" applyFont="1" applyBorder="1"/>
    <xf numFmtId="0" fontId="13" fillId="0" borderId="15" xfId="0" applyFont="1" applyBorder="1"/>
    <xf numFmtId="0" fontId="13" fillId="0" borderId="12" xfId="0" applyFont="1" applyBorder="1" applyAlignment="1">
      <alignment horizontal="center" vertical="top"/>
    </xf>
    <xf numFmtId="0" fontId="6" fillId="0" borderId="0" xfId="0" applyFont="1" applyFill="1" applyAlignment="1" applyProtection="1">
      <alignment horizontal="right" wrapText="1"/>
    </xf>
    <xf numFmtId="0" fontId="7" fillId="0" borderId="1" xfId="0" applyFont="1" applyFill="1" applyBorder="1" applyAlignment="1" applyProtection="1">
      <alignment horizontal="right" wrapText="1"/>
    </xf>
    <xf numFmtId="38" fontId="20" fillId="4" borderId="1" xfId="0" applyNumberFormat="1" applyFont="1" applyFill="1" applyBorder="1" applyAlignment="1" applyProtection="1">
      <alignment horizontal="center"/>
      <protection locked="0"/>
    </xf>
    <xf numFmtId="0" fontId="20" fillId="0" borderId="0" xfId="0" applyFont="1" applyFill="1" applyAlignment="1" applyProtection="1"/>
    <xf numFmtId="0" fontId="21" fillId="0" borderId="0" xfId="0" applyFont="1" applyFill="1" applyAlignment="1" applyProtection="1"/>
    <xf numFmtId="38" fontId="21" fillId="0" borderId="0" xfId="0" applyNumberFormat="1" applyFont="1" applyFill="1" applyAlignment="1" applyProtection="1"/>
    <xf numFmtId="38" fontId="20" fillId="0" borderId="0" xfId="0" applyNumberFormat="1" applyFont="1" applyFill="1" applyAlignment="1" applyProtection="1"/>
    <xf numFmtId="0" fontId="23" fillId="0" borderId="0" xfId="0" applyFont="1" applyFill="1" applyProtection="1"/>
    <xf numFmtId="0" fontId="16" fillId="0" borderId="0" xfId="0" applyFont="1" applyFill="1" applyProtection="1"/>
    <xf numFmtId="0" fontId="15" fillId="0" borderId="1" xfId="0" applyFont="1" applyFill="1" applyBorder="1" applyAlignment="1" applyProtection="1"/>
    <xf numFmtId="38" fontId="15" fillId="0" borderId="1" xfId="1" applyNumberFormat="1" applyFont="1" applyFill="1" applyBorder="1" applyAlignment="1" applyProtection="1"/>
    <xf numFmtId="0" fontId="22" fillId="0" borderId="1" xfId="0" applyFont="1" applyFill="1" applyBorder="1" applyAlignment="1" applyProtection="1">
      <alignment wrapText="1"/>
    </xf>
    <xf numFmtId="38" fontId="22" fillId="0" borderId="1" xfId="1" applyNumberFormat="1" applyFont="1" applyFill="1" applyBorder="1" applyAlignment="1" applyProtection="1"/>
    <xf numFmtId="0" fontId="22" fillId="0" borderId="1" xfId="0" applyFont="1" applyFill="1" applyBorder="1" applyAlignment="1" applyProtection="1"/>
    <xf numFmtId="0" fontId="26" fillId="0" borderId="0" xfId="0" applyFont="1" applyFill="1" applyAlignment="1" applyProtection="1"/>
    <xf numFmtId="0" fontId="6" fillId="0" borderId="0" xfId="0" applyFont="1" applyFill="1" applyBorder="1" applyAlignment="1" applyProtection="1">
      <alignment horizontal="left"/>
    </xf>
    <xf numFmtId="164" fontId="11" fillId="3" borderId="1" xfId="3" applyNumberFormat="1" applyFill="1" applyBorder="1" applyAlignment="1" applyProtection="1">
      <alignment horizontal="right" vertical="center"/>
      <protection locked="0"/>
    </xf>
    <xf numFmtId="0" fontId="3" fillId="0" borderId="0" xfId="0" applyFont="1" applyAlignment="1" applyProtection="1">
      <alignment horizontal="right" wrapText="1"/>
    </xf>
    <xf numFmtId="38" fontId="6" fillId="0" borderId="1" xfId="1" applyNumberFormat="1" applyFont="1" applyBorder="1" applyAlignment="1" applyProtection="1">
      <alignment horizontal="center"/>
    </xf>
    <xf numFmtId="0" fontId="6" fillId="2" borderId="0" xfId="0" applyFont="1" applyFill="1" applyAlignment="1" applyProtection="1">
      <alignment horizontal="right"/>
    </xf>
    <xf numFmtId="38" fontId="6" fillId="3" borderId="0" xfId="0" applyNumberFormat="1" applyFont="1" applyFill="1" applyAlignment="1" applyProtection="1"/>
    <xf numFmtId="38" fontId="6" fillId="0" borderId="0" xfId="0" applyNumberFormat="1" applyFont="1" applyFill="1" applyAlignment="1" applyProtection="1"/>
    <xf numFmtId="0" fontId="6" fillId="0" borderId="0" xfId="0" applyFont="1" applyAlignment="1" applyProtection="1">
      <alignment horizontal="right" wrapText="1"/>
    </xf>
    <xf numFmtId="38" fontId="6" fillId="0" borderId="0" xfId="0" applyNumberFormat="1" applyFont="1" applyAlignment="1" applyProtection="1">
      <alignment horizontal="right"/>
    </xf>
    <xf numFmtId="0" fontId="6" fillId="0" borderId="3" xfId="0" applyFont="1" applyFill="1" applyBorder="1" applyAlignment="1" applyProtection="1">
      <alignment horizontal="right"/>
    </xf>
    <xf numFmtId="0" fontId="6" fillId="0" borderId="4" xfId="0" applyFont="1" applyFill="1" applyBorder="1" applyAlignment="1" applyProtection="1">
      <alignment horizontal="right"/>
    </xf>
    <xf numFmtId="38" fontId="6" fillId="0" borderId="1" xfId="0" applyNumberFormat="1" applyFont="1" applyFill="1" applyBorder="1" applyAlignment="1" applyProtection="1">
      <alignment horizontal="right"/>
    </xf>
    <xf numFmtId="0" fontId="6" fillId="0" borderId="1" xfId="0" applyFont="1" applyFill="1" applyBorder="1" applyAlignment="1" applyProtection="1">
      <alignment horizontal="right"/>
    </xf>
    <xf numFmtId="0" fontId="6" fillId="0" borderId="2" xfId="0" applyFont="1" applyBorder="1" applyAlignment="1" applyProtection="1">
      <alignment horizontal="right" wrapText="1"/>
    </xf>
    <xf numFmtId="0" fontId="3" fillId="0" borderId="1" xfId="0" applyFont="1" applyBorder="1" applyAlignment="1" applyProtection="1">
      <alignment horizontal="right"/>
    </xf>
    <xf numFmtId="2" fontId="3" fillId="0" borderId="1" xfId="0" applyNumberFormat="1" applyFont="1" applyBorder="1" applyAlignment="1" applyProtection="1">
      <alignment horizontal="right"/>
    </xf>
    <xf numFmtId="3" fontId="6" fillId="0" borderId="0" xfId="0" applyNumberFormat="1" applyFont="1" applyAlignment="1" applyProtection="1">
      <alignment horizontal="right"/>
    </xf>
    <xf numFmtId="0" fontId="3" fillId="0" borderId="1" xfId="0" applyFont="1" applyFill="1" applyBorder="1" applyAlignment="1" applyProtection="1">
      <alignment horizontal="right"/>
    </xf>
    <xf numFmtId="3" fontId="6" fillId="0" borderId="1" xfId="1" applyNumberFormat="1" applyFont="1" applyFill="1" applyBorder="1" applyAlignment="1" applyProtection="1">
      <alignment horizontal="right"/>
    </xf>
    <xf numFmtId="0" fontId="6" fillId="0" borderId="8" xfId="0" applyFont="1" applyBorder="1" applyAlignment="1" applyProtection="1">
      <alignment horizontal="right"/>
    </xf>
    <xf numFmtId="0" fontId="6" fillId="0" borderId="3" xfId="0" applyFont="1" applyBorder="1" applyAlignment="1" applyProtection="1">
      <alignment horizontal="right"/>
    </xf>
    <xf numFmtId="0" fontId="6" fillId="0" borderId="4" xfId="0" applyFont="1" applyBorder="1" applyAlignment="1" applyProtection="1">
      <alignment horizontal="right"/>
    </xf>
    <xf numFmtId="3" fontId="6" fillId="0" borderId="8" xfId="0" applyNumberFormat="1" applyFont="1" applyBorder="1" applyAlignment="1" applyProtection="1">
      <alignment horizontal="right"/>
    </xf>
    <xf numFmtId="0" fontId="6" fillId="0" borderId="1" xfId="0" applyFont="1" applyBorder="1" applyAlignment="1" applyProtection="1">
      <alignment horizontal="center"/>
    </xf>
    <xf numFmtId="38" fontId="6" fillId="0" borderId="1" xfId="0" applyNumberFormat="1" applyFont="1" applyBorder="1" applyAlignment="1" applyProtection="1">
      <alignment horizontal="right"/>
    </xf>
    <xf numFmtId="38" fontId="7" fillId="0" borderId="1" xfId="1" applyNumberFormat="1" applyFont="1" applyFill="1" applyBorder="1" applyAlignment="1" applyProtection="1">
      <alignment horizontal="right"/>
    </xf>
    <xf numFmtId="0" fontId="3" fillId="0" borderId="4" xfId="0" applyFont="1" applyBorder="1" applyAlignment="1" applyProtection="1">
      <alignment horizontal="right" wrapText="1"/>
    </xf>
    <xf numFmtId="0" fontId="3" fillId="0" borderId="6" xfId="0" applyFont="1" applyBorder="1" applyAlignment="1" applyProtection="1">
      <alignment horizontal="right"/>
    </xf>
    <xf numFmtId="0" fontId="3" fillId="0" borderId="4" xfId="0" applyFont="1" applyBorder="1" applyAlignment="1" applyProtection="1">
      <alignment horizontal="right"/>
    </xf>
    <xf numFmtId="0" fontId="3" fillId="0" borderId="16" xfId="0" applyFont="1" applyBorder="1" applyAlignment="1" applyProtection="1">
      <alignment horizontal="right"/>
    </xf>
    <xf numFmtId="0" fontId="3" fillId="0" borderId="16" xfId="0" applyFont="1" applyBorder="1" applyAlignment="1" applyProtection="1">
      <alignment horizontal="right" wrapText="1"/>
    </xf>
    <xf numFmtId="0" fontId="3" fillId="0" borderId="7" xfId="0" applyFont="1" applyBorder="1" applyAlignment="1" applyProtection="1">
      <alignment horizontal="right" wrapText="1"/>
    </xf>
    <xf numFmtId="0" fontId="3" fillId="0" borderId="11" xfId="0" applyFont="1" applyBorder="1" applyAlignment="1" applyProtection="1">
      <alignment horizontal="right" wrapText="1"/>
    </xf>
    <xf numFmtId="0" fontId="6" fillId="0" borderId="4" xfId="0" applyFont="1" applyBorder="1" applyAlignment="1" applyProtection="1">
      <alignment horizontal="right" wrapText="1"/>
    </xf>
    <xf numFmtId="0" fontId="3" fillId="0" borderId="7" xfId="0" applyFont="1" applyBorder="1" applyAlignment="1" applyProtection="1">
      <alignment horizontal="right"/>
    </xf>
    <xf numFmtId="38" fontId="6" fillId="0" borderId="0" xfId="0" applyNumberFormat="1" applyFont="1" applyFill="1" applyAlignment="1" applyProtection="1">
      <alignment horizontal="right"/>
    </xf>
    <xf numFmtId="0" fontId="14" fillId="0" borderId="9" xfId="0" applyFont="1" applyFill="1" applyBorder="1" applyAlignment="1" applyProtection="1">
      <alignment horizontal="right"/>
    </xf>
    <xf numFmtId="0" fontId="24" fillId="0" borderId="10" xfId="0" applyFont="1" applyFill="1" applyBorder="1" applyAlignment="1" applyProtection="1">
      <alignment horizontal="right"/>
    </xf>
    <xf numFmtId="0" fontId="14" fillId="0" borderId="10" xfId="0" applyFont="1" applyFill="1" applyBorder="1" applyAlignment="1" applyProtection="1">
      <alignment horizontal="right"/>
    </xf>
    <xf numFmtId="0" fontId="5" fillId="0" borderId="10" xfId="0" applyFont="1" applyFill="1" applyBorder="1" applyAlignment="1" applyProtection="1">
      <alignment horizontal="right"/>
    </xf>
    <xf numFmtId="0" fontId="5" fillId="0" borderId="11" xfId="0" applyFont="1" applyFill="1" applyBorder="1" applyAlignment="1" applyProtection="1">
      <alignment horizontal="right"/>
    </xf>
    <xf numFmtId="0" fontId="5" fillId="0" borderId="0" xfId="0" applyFont="1" applyFill="1" applyAlignment="1" applyProtection="1">
      <alignment horizontal="right"/>
    </xf>
    <xf numFmtId="0" fontId="14" fillId="0" borderId="12" xfId="0" applyFont="1" applyFill="1" applyBorder="1" applyAlignment="1" applyProtection="1">
      <alignment horizontal="right"/>
    </xf>
    <xf numFmtId="0" fontId="25" fillId="0" borderId="0" xfId="0" applyFont="1" applyFill="1" applyBorder="1" applyAlignment="1" applyProtection="1">
      <alignment horizontal="right"/>
    </xf>
    <xf numFmtId="0" fontId="14" fillId="0" borderId="0" xfId="0" applyFont="1" applyFill="1" applyBorder="1" applyAlignment="1" applyProtection="1">
      <alignment horizontal="right"/>
    </xf>
    <xf numFmtId="0" fontId="5" fillId="0" borderId="0" xfId="0" applyFont="1" applyFill="1" applyBorder="1" applyAlignment="1" applyProtection="1">
      <alignment horizontal="right"/>
    </xf>
    <xf numFmtId="0" fontId="5" fillId="0" borderId="13" xfId="0" applyFont="1" applyFill="1" applyBorder="1" applyAlignment="1" applyProtection="1">
      <alignment horizontal="right"/>
    </xf>
    <xf numFmtId="0" fontId="5" fillId="0" borderId="1" xfId="0" applyFont="1" applyFill="1" applyBorder="1" applyAlignment="1" applyProtection="1"/>
    <xf numFmtId="38" fontId="5" fillId="0" borderId="1" xfId="1" applyNumberFormat="1" applyFont="1" applyFill="1" applyBorder="1" applyAlignment="1" applyProtection="1">
      <alignment horizontal="center"/>
    </xf>
    <xf numFmtId="0" fontId="19" fillId="0" borderId="1" xfId="0" applyFont="1" applyFill="1" applyBorder="1" applyAlignment="1" applyProtection="1">
      <alignment wrapText="1"/>
    </xf>
    <xf numFmtId="14" fontId="14" fillId="0" borderId="0" xfId="0" applyNumberFormat="1" applyFont="1" applyFill="1" applyBorder="1" applyAlignment="1" applyProtection="1">
      <alignment horizontal="right"/>
    </xf>
    <xf numFmtId="0" fontId="14" fillId="0" borderId="13" xfId="0" applyFont="1" applyFill="1" applyBorder="1" applyAlignment="1" applyProtection="1">
      <alignment horizontal="right"/>
    </xf>
    <xf numFmtId="0" fontId="14" fillId="0" borderId="0" xfId="0" applyFont="1" applyFill="1" applyAlignment="1" applyProtection="1">
      <alignment horizontal="right"/>
    </xf>
    <xf numFmtId="0" fontId="14" fillId="0" borderId="0" xfId="0" applyFont="1" applyFill="1" applyBorder="1" applyAlignment="1" applyProtection="1"/>
    <xf numFmtId="0" fontId="14" fillId="0" borderId="1" xfId="0" applyFont="1" applyFill="1" applyBorder="1" applyAlignment="1" applyProtection="1"/>
    <xf numFmtId="0" fontId="14" fillId="0" borderId="1" xfId="0" applyFont="1" applyFill="1" applyBorder="1" applyAlignment="1" applyProtection="1">
      <alignment wrapText="1"/>
    </xf>
    <xf numFmtId="38" fontId="14" fillId="0" borderId="1" xfId="1" applyNumberFormat="1" applyFont="1" applyFill="1" applyBorder="1" applyAlignment="1" applyProtection="1"/>
    <xf numFmtId="38" fontId="14" fillId="0" borderId="0" xfId="0" applyNumberFormat="1" applyFont="1" applyFill="1" applyBorder="1" applyAlignment="1" applyProtection="1"/>
    <xf numFmtId="0" fontId="14" fillId="0" borderId="0" xfId="0" applyFont="1" applyFill="1" applyBorder="1" applyAlignment="1" applyProtection="1">
      <alignment horizontal="right" readingOrder="2"/>
    </xf>
    <xf numFmtId="0" fontId="14" fillId="0" borderId="14" xfId="0" applyFont="1" applyFill="1" applyBorder="1" applyAlignment="1" applyProtection="1">
      <alignment horizontal="right"/>
    </xf>
    <xf numFmtId="0" fontId="14" fillId="0" borderId="5" xfId="0" applyFont="1" applyFill="1" applyBorder="1" applyAlignment="1" applyProtection="1">
      <alignment horizontal="right"/>
    </xf>
    <xf numFmtId="0" fontId="14" fillId="0" borderId="15" xfId="0" applyFont="1" applyFill="1" applyBorder="1" applyAlignment="1" applyProtection="1">
      <alignment horizontal="right"/>
    </xf>
    <xf numFmtId="0" fontId="27" fillId="0" borderId="10" xfId="0" applyFont="1" applyFill="1" applyBorder="1" applyAlignment="1" applyProtection="1">
      <alignment horizontal="left"/>
    </xf>
    <xf numFmtId="0" fontId="7" fillId="0" borderId="8" xfId="0" applyFont="1" applyFill="1" applyBorder="1" applyAlignment="1" applyProtection="1">
      <alignment horizontal="right"/>
    </xf>
    <xf numFmtId="0" fontId="28" fillId="0" borderId="0" xfId="0" applyFont="1" applyFill="1" applyProtection="1"/>
    <xf numFmtId="10" fontId="13" fillId="0" borderId="1" xfId="2" applyNumberFormat="1" applyFont="1" applyFill="1" applyBorder="1" applyAlignment="1" applyProtection="1"/>
    <xf numFmtId="10" fontId="13" fillId="0" borderId="1" xfId="0" applyNumberFormat="1" applyFont="1" applyFill="1" applyBorder="1" applyAlignment="1" applyProtection="1"/>
    <xf numFmtId="10" fontId="22" fillId="0" borderId="1" xfId="0" applyNumberFormat="1" applyFont="1" applyFill="1" applyBorder="1" applyAlignment="1" applyProtection="1"/>
    <xf numFmtId="0" fontId="6" fillId="3" borderId="1" xfId="0" applyNumberFormat="1" applyFont="1" applyFill="1" applyBorder="1" applyAlignment="1" applyProtection="1">
      <alignment horizontal="right"/>
      <protection locked="0"/>
    </xf>
    <xf numFmtId="0" fontId="6" fillId="3" borderId="1" xfId="0" applyNumberFormat="1" applyFont="1" applyFill="1" applyBorder="1" applyProtection="1">
      <protection locked="0"/>
    </xf>
    <xf numFmtId="0" fontId="6" fillId="3" borderId="1" xfId="1" applyNumberFormat="1" applyFont="1" applyFill="1" applyBorder="1" applyAlignment="1" applyProtection="1">
      <alignment horizontal="right"/>
      <protection locked="0"/>
    </xf>
    <xf numFmtId="0" fontId="24" fillId="0" borderId="0" xfId="0" applyFont="1" applyFill="1" applyBorder="1" applyAlignment="1" applyProtection="1"/>
    <xf numFmtId="0" fontId="6" fillId="0" borderId="6" xfId="0" applyFont="1" applyBorder="1" applyAlignment="1" applyProtection="1">
      <alignment horizontal="right" wrapText="1"/>
    </xf>
    <xf numFmtId="0" fontId="6" fillId="0" borderId="16" xfId="0" applyFont="1" applyBorder="1" applyAlignment="1" applyProtection="1">
      <alignment horizontal="right" wrapText="1"/>
    </xf>
    <xf numFmtId="0" fontId="6" fillId="0" borderId="7" xfId="0" applyFont="1" applyBorder="1" applyAlignment="1" applyProtection="1">
      <alignment horizontal="right" wrapText="1"/>
    </xf>
    <xf numFmtId="0" fontId="6" fillId="0" borderId="6" xfId="0" applyFont="1" applyBorder="1" applyAlignment="1" applyProtection="1">
      <alignment horizontal="right"/>
    </xf>
    <xf numFmtId="0" fontId="6" fillId="0" borderId="16" xfId="0" applyFont="1" applyBorder="1" applyAlignment="1" applyProtection="1">
      <alignment horizontal="right"/>
    </xf>
    <xf numFmtId="0" fontId="6" fillId="0" borderId="7" xfId="0" applyFont="1" applyBorder="1" applyAlignment="1" applyProtection="1">
      <alignment horizontal="right"/>
    </xf>
    <xf numFmtId="0" fontId="3" fillId="0" borderId="6" xfId="0" applyFont="1" applyBorder="1" applyAlignment="1" applyProtection="1">
      <alignment horizontal="right"/>
    </xf>
    <xf numFmtId="0" fontId="3" fillId="0" borderId="16" xfId="0" applyFont="1" applyBorder="1" applyAlignment="1" applyProtection="1">
      <alignment horizontal="right"/>
    </xf>
    <xf numFmtId="164" fontId="6" fillId="3" borderId="6" xfId="1" applyNumberFormat="1" applyFont="1" applyFill="1" applyBorder="1" applyAlignment="1" applyProtection="1">
      <protection locked="0"/>
    </xf>
    <xf numFmtId="0" fontId="0" fillId="0" borderId="16" xfId="0" applyBorder="1" applyAlignment="1" applyProtection="1">
      <protection locked="0"/>
    </xf>
    <xf numFmtId="0" fontId="0" fillId="0" borderId="7" xfId="0" applyBorder="1" applyAlignment="1" applyProtection="1">
      <protection locked="0"/>
    </xf>
  </cellXfs>
  <cellStyles count="4">
    <cellStyle name="Comma" xfId="1" builtinId="3"/>
    <cellStyle name="Normal" xfId="0" builtinId="0"/>
    <cellStyle name="Percent" xfId="2" builtinId="5"/>
    <cellStyle name="היפר-קישור" xfId="3" builtinId="8"/>
  </cellStyles>
  <dxfs count="162">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
      <fill>
        <patternFill>
          <bgColor rgb="FFFFFF00"/>
        </patternFill>
      </fill>
    </dxf>
    <dxf>
      <font>
        <color rgb="FF9C0006"/>
      </font>
      <fill>
        <patternFill>
          <bgColor rgb="FFFFFF00"/>
        </patternFill>
      </fill>
    </dxf>
    <dxf>
      <font>
        <color rgb="FF9C0006"/>
      </font>
      <fill>
        <patternFill>
          <bgColor rgb="FFFFC7CE"/>
        </patternFill>
      </fill>
    </dxf>
    <dxf>
      <font>
        <b/>
        <i val="0"/>
        <strike val="0"/>
        <color rgb="FFFF0000"/>
      </font>
      <fill>
        <patternFill patternType="none">
          <bgColor auto="1"/>
        </patternFill>
      </fill>
    </dxf>
    <dxf>
      <font>
        <color rgb="FFFF0000"/>
      </font>
      <fill>
        <patternFill>
          <bgColor rgb="FFFFC7CE"/>
        </patternFill>
      </fill>
    </dxf>
  </dxfs>
  <tableStyles count="0" defaultTableStyle="TableStyleMedium2" defaultPivotStyle="PivotStyleLight16"/>
  <colors>
    <mruColors>
      <color rgb="FF800000"/>
      <color rgb="FFFF9999"/>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2001566</xdr:colOff>
      <xdr:row>2</xdr:row>
      <xdr:rowOff>39687</xdr:rowOff>
    </xdr:from>
    <xdr:to>
      <xdr:col>2</xdr:col>
      <xdr:colOff>3140937</xdr:colOff>
      <xdr:row>7</xdr:row>
      <xdr:rowOff>119062</xdr:rowOff>
    </xdr:to>
    <xdr:pic>
      <xdr:nvPicPr>
        <xdr:cNvPr id="2" name="תמונה 1">
          <a:extLst>
            <a:ext uri="{FF2B5EF4-FFF2-40B4-BE49-F238E27FC236}">
              <a16:creationId xmlns:a16="http://schemas.microsoft.com/office/drawing/2014/main" id="{486299C3-CB1D-4C36-AB8F-65B2F63F668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6543313" y="230187"/>
          <a:ext cx="1139371" cy="107156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Business/BL/Tami/Hay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פתיח"/>
      <sheetName val="תוכן עיניינים"/>
      <sheetName val="שאלון למילוי מגיש הבקשה - חובה"/>
      <sheetName val="ציוד כללי"/>
      <sheetName val="מחשוב"/>
      <sheetName val="מתקני כושר לחצר"/>
      <sheetName val="מתקני חדר כושר"/>
      <sheetName val="מתקני חצר לילדים"/>
      <sheetName val="חוגים"/>
      <sheetName val="ציוד נוסף שלא קיים בתקן"/>
      <sheetName val="סיכום"/>
      <sheetName val="שעות"/>
    </sheetNames>
    <sheetDataSet>
      <sheetData sheetId="0"/>
      <sheetData sheetId="1">
        <row r="17">
          <cell r="B17" t="str">
            <v>ציוד נוסף שלא קיים בתקן</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30"/>
  <sheetViews>
    <sheetView showGridLines="0" rightToLeft="1" tabSelected="1" zoomScaleNormal="100" workbookViewId="0"/>
  </sheetViews>
  <sheetFormatPr defaultColWidth="9" defaultRowHeight="15.6" x14ac:dyDescent="0.3"/>
  <cols>
    <col min="1" max="1" width="3" style="116" customWidth="1"/>
    <col min="2" max="2" width="3.5" style="116" customWidth="1"/>
    <col min="3" max="3" width="75.09765625" style="116" customWidth="1"/>
    <col min="4" max="13" width="9" style="116"/>
    <col min="14" max="14" width="19.5" style="116" customWidth="1"/>
    <col min="15" max="16384" width="9" style="116"/>
  </cols>
  <sheetData>
    <row r="1" spans="2:3" ht="12.75" customHeight="1" x14ac:dyDescent="0.3"/>
    <row r="2" spans="2:3" x14ac:dyDescent="0.3">
      <c r="B2" s="123"/>
      <c r="C2" s="124" t="s">
        <v>112</v>
      </c>
    </row>
    <row r="3" spans="2:3" x14ac:dyDescent="0.3">
      <c r="B3" s="125"/>
      <c r="C3" s="126"/>
    </row>
    <row r="4" spans="2:3" x14ac:dyDescent="0.3">
      <c r="B4" s="125"/>
      <c r="C4" s="127"/>
    </row>
    <row r="5" spans="2:3" x14ac:dyDescent="0.3">
      <c r="B5" s="125"/>
      <c r="C5" s="127"/>
    </row>
    <row r="6" spans="2:3" x14ac:dyDescent="0.3">
      <c r="B6" s="125"/>
      <c r="C6" s="127"/>
    </row>
    <row r="7" spans="2:3" x14ac:dyDescent="0.3">
      <c r="B7" s="125"/>
      <c r="C7" s="127"/>
    </row>
    <row r="8" spans="2:3" x14ac:dyDescent="0.3">
      <c r="B8" s="125"/>
      <c r="C8" s="127"/>
    </row>
    <row r="9" spans="2:3" x14ac:dyDescent="0.3">
      <c r="B9" s="125"/>
      <c r="C9" s="127"/>
    </row>
    <row r="10" spans="2:3" s="115" customFormat="1" ht="17.399999999999999" x14ac:dyDescent="0.3">
      <c r="B10" s="128"/>
      <c r="C10" s="129" t="s">
        <v>229</v>
      </c>
    </row>
    <row r="11" spans="2:3" s="117" customFormat="1" x14ac:dyDescent="0.3">
      <c r="B11" s="130"/>
      <c r="C11" s="131"/>
    </row>
    <row r="12" spans="2:3" ht="46.8" x14ac:dyDescent="0.3">
      <c r="B12" s="125"/>
      <c r="C12" s="133" t="s">
        <v>207</v>
      </c>
    </row>
    <row r="13" spans="2:3" x14ac:dyDescent="0.3">
      <c r="B13" s="125"/>
      <c r="C13" s="133"/>
    </row>
    <row r="14" spans="2:3" ht="46.8" x14ac:dyDescent="0.3">
      <c r="B14" s="125"/>
      <c r="C14" s="132" t="s">
        <v>208</v>
      </c>
    </row>
    <row r="15" spans="2:3" x14ac:dyDescent="0.3">
      <c r="B15" s="125"/>
      <c r="C15" s="132"/>
    </row>
    <row r="16" spans="2:3" x14ac:dyDescent="0.3">
      <c r="B16" s="125"/>
      <c r="C16" s="134" t="s">
        <v>176</v>
      </c>
    </row>
    <row r="17" spans="2:3" x14ac:dyDescent="0.3">
      <c r="B17" s="125"/>
      <c r="C17" s="134"/>
    </row>
    <row r="18" spans="2:3" x14ac:dyDescent="0.3">
      <c r="B18" s="125"/>
      <c r="C18" s="133" t="s">
        <v>170</v>
      </c>
    </row>
    <row r="19" spans="2:3" ht="31.2" x14ac:dyDescent="0.3">
      <c r="B19" s="138">
        <v>1</v>
      </c>
      <c r="C19" s="133" t="s">
        <v>209</v>
      </c>
    </row>
    <row r="20" spans="2:3" ht="46.8" x14ac:dyDescent="0.3">
      <c r="B20" s="138">
        <v>2</v>
      </c>
      <c r="C20" s="133" t="s">
        <v>210</v>
      </c>
    </row>
    <row r="21" spans="2:3" x14ac:dyDescent="0.3">
      <c r="B21" s="125"/>
      <c r="C21" s="134"/>
    </row>
    <row r="22" spans="2:3" x14ac:dyDescent="0.3">
      <c r="B22" s="125"/>
      <c r="C22" s="135" t="s">
        <v>171</v>
      </c>
    </row>
    <row r="23" spans="2:3" ht="31.2" x14ac:dyDescent="0.3">
      <c r="B23" s="125"/>
      <c r="C23" s="133" t="s">
        <v>186</v>
      </c>
    </row>
    <row r="24" spans="2:3" x14ac:dyDescent="0.3">
      <c r="B24" s="125"/>
      <c r="C24" s="133" t="s">
        <v>172</v>
      </c>
    </row>
    <row r="25" spans="2:3" x14ac:dyDescent="0.3">
      <c r="B25" s="125"/>
      <c r="C25" s="133" t="s">
        <v>82</v>
      </c>
    </row>
    <row r="26" spans="2:3" x14ac:dyDescent="0.3">
      <c r="B26" s="125"/>
      <c r="C26" s="133" t="s">
        <v>173</v>
      </c>
    </row>
    <row r="27" spans="2:3" x14ac:dyDescent="0.3">
      <c r="B27" s="125"/>
      <c r="C27" s="133" t="s">
        <v>174</v>
      </c>
    </row>
    <row r="28" spans="2:3" x14ac:dyDescent="0.3">
      <c r="B28" s="125"/>
      <c r="C28" s="126"/>
    </row>
    <row r="29" spans="2:3" x14ac:dyDescent="0.3">
      <c r="B29" s="125"/>
      <c r="C29" s="135" t="s">
        <v>175</v>
      </c>
    </row>
    <row r="30" spans="2:3" x14ac:dyDescent="0.3">
      <c r="B30" s="136"/>
      <c r="C30" s="137"/>
    </row>
  </sheetData>
  <sheetProtection password="CC3D"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6"/>
  <sheetViews>
    <sheetView showGridLines="0" rightToLeft="1" zoomScaleNormal="100" workbookViewId="0"/>
  </sheetViews>
  <sheetFormatPr defaultColWidth="9" defaultRowHeight="13.8" x14ac:dyDescent="0.25"/>
  <cols>
    <col min="1" max="1" width="3" style="9" customWidth="1"/>
    <col min="2" max="2" width="5.09765625" style="9" customWidth="1"/>
    <col min="3" max="3" width="44.5" style="119" customWidth="1"/>
    <col min="4" max="4" width="31.5" style="9" customWidth="1"/>
    <col min="5" max="5" width="13.5" style="9" customWidth="1"/>
    <col min="6" max="6" width="15.59765625" style="9" customWidth="1"/>
    <col min="7" max="16384" width="9" style="9"/>
  </cols>
  <sheetData>
    <row r="1" spans="2:6" ht="18.75" x14ac:dyDescent="0.3">
      <c r="C1" s="147" t="str">
        <f>'הסבר תקן'!C10</f>
        <v xml:space="preserve">תקן הצטיידות למסגרות תעסוקה מוגנת   - ינואר 2024 </v>
      </c>
    </row>
    <row r="2" spans="2:6" x14ac:dyDescent="0.25">
      <c r="B2" s="10"/>
      <c r="C2" s="216" t="s">
        <v>144</v>
      </c>
      <c r="D2" s="11"/>
      <c r="E2" s="11"/>
      <c r="F2" s="12"/>
    </row>
    <row r="3" spans="2:6" x14ac:dyDescent="0.25">
      <c r="B3" s="13" t="s">
        <v>134</v>
      </c>
      <c r="C3" s="118"/>
      <c r="D3" s="14"/>
      <c r="E3" s="14"/>
      <c r="F3" s="15"/>
    </row>
    <row r="4" spans="2:6" x14ac:dyDescent="0.25">
      <c r="B4" s="13"/>
      <c r="C4" s="118" t="s">
        <v>13</v>
      </c>
      <c r="D4" s="16"/>
      <c r="E4" s="14"/>
      <c r="F4" s="15"/>
    </row>
    <row r="5" spans="2:6" x14ac:dyDescent="0.25">
      <c r="B5" s="13"/>
      <c r="C5" s="118" t="s">
        <v>14</v>
      </c>
      <c r="D5" s="17"/>
      <c r="E5" s="14"/>
      <c r="F5" s="15"/>
    </row>
    <row r="6" spans="2:6" x14ac:dyDescent="0.25">
      <c r="B6" s="13"/>
      <c r="C6" s="118" t="s">
        <v>116</v>
      </c>
      <c r="D6" s="17"/>
      <c r="E6" s="14"/>
      <c r="F6" s="15"/>
    </row>
    <row r="7" spans="2:6" x14ac:dyDescent="0.25">
      <c r="B7" s="13"/>
      <c r="C7" s="118" t="s">
        <v>84</v>
      </c>
      <c r="D7" s="17"/>
      <c r="E7" s="14"/>
      <c r="F7" s="15"/>
    </row>
    <row r="8" spans="2:6" x14ac:dyDescent="0.25">
      <c r="B8" s="13"/>
      <c r="C8" s="118" t="s">
        <v>135</v>
      </c>
      <c r="D8" s="17"/>
      <c r="E8" s="14"/>
      <c r="F8" s="15"/>
    </row>
    <row r="9" spans="2:6" x14ac:dyDescent="0.25">
      <c r="B9" s="13"/>
      <c r="C9" s="118" t="s">
        <v>136</v>
      </c>
      <c r="D9" s="18"/>
      <c r="E9" s="14"/>
      <c r="F9" s="15"/>
    </row>
    <row r="10" spans="2:6" x14ac:dyDescent="0.25">
      <c r="B10" s="13"/>
      <c r="C10" s="118" t="s">
        <v>137</v>
      </c>
      <c r="D10" s="155"/>
      <c r="E10" s="14"/>
      <c r="F10" s="15"/>
    </row>
    <row r="11" spans="2:6" ht="15" x14ac:dyDescent="0.25">
      <c r="B11" s="13"/>
      <c r="C11" s="120"/>
      <c r="D11" s="24"/>
      <c r="E11" s="14"/>
      <c r="F11" s="15"/>
    </row>
    <row r="12" spans="2:6" x14ac:dyDescent="0.25">
      <c r="B12" s="25" t="s">
        <v>179</v>
      </c>
      <c r="C12" s="121"/>
      <c r="D12" s="26"/>
      <c r="E12" s="11"/>
      <c r="F12" s="12"/>
    </row>
    <row r="13" spans="2:6" x14ac:dyDescent="0.25">
      <c r="B13" s="13"/>
      <c r="C13" s="118" t="s">
        <v>193</v>
      </c>
      <c r="D13" s="17"/>
      <c r="E13" s="14"/>
      <c r="F13" s="15"/>
    </row>
    <row r="14" spans="2:6" x14ac:dyDescent="0.25">
      <c r="B14" s="13"/>
      <c r="C14" s="118" t="s">
        <v>187</v>
      </c>
      <c r="D14" s="17"/>
      <c r="E14" s="14"/>
      <c r="F14" s="15"/>
    </row>
    <row r="15" spans="2:6" x14ac:dyDescent="0.25">
      <c r="B15" s="13"/>
      <c r="C15" s="118" t="s">
        <v>188</v>
      </c>
      <c r="D15" s="17"/>
      <c r="E15" s="14"/>
      <c r="F15" s="15"/>
    </row>
    <row r="16" spans="2:6" x14ac:dyDescent="0.25">
      <c r="B16" s="13"/>
      <c r="C16" s="118" t="s">
        <v>189</v>
      </c>
      <c r="D16" s="17"/>
      <c r="E16" s="14"/>
      <c r="F16" s="15"/>
    </row>
    <row r="17" spans="2:6" x14ac:dyDescent="0.25">
      <c r="B17" s="13"/>
      <c r="C17" s="118" t="s">
        <v>211</v>
      </c>
      <c r="D17" s="18"/>
      <c r="E17" s="14"/>
      <c r="F17" s="15"/>
    </row>
    <row r="18" spans="2:6" x14ac:dyDescent="0.25">
      <c r="B18" s="13"/>
      <c r="C18" s="118" t="s">
        <v>190</v>
      </c>
      <c r="D18" s="155"/>
      <c r="E18" s="14"/>
      <c r="F18" s="15"/>
    </row>
    <row r="19" spans="2:6" ht="15" x14ac:dyDescent="0.25">
      <c r="B19" s="19"/>
      <c r="C19" s="122"/>
      <c r="D19" s="27"/>
      <c r="E19" s="20"/>
      <c r="F19" s="21"/>
    </row>
    <row r="20" spans="2:6" x14ac:dyDescent="0.25">
      <c r="B20" s="10" t="s">
        <v>180</v>
      </c>
      <c r="C20" s="121"/>
      <c r="D20" s="26"/>
      <c r="E20" s="11"/>
      <c r="F20" s="12"/>
    </row>
    <row r="21" spans="2:6" x14ac:dyDescent="0.25">
      <c r="B21" s="13"/>
      <c r="C21" s="118" t="s">
        <v>149</v>
      </c>
      <c r="D21" s="4"/>
      <c r="E21" s="14"/>
      <c r="F21" s="15"/>
    </row>
    <row r="22" spans="2:6" x14ac:dyDescent="0.25">
      <c r="B22" s="13"/>
      <c r="C22" s="118" t="s">
        <v>194</v>
      </c>
      <c r="D22" s="4"/>
      <c r="E22" s="14"/>
      <c r="F22" s="15"/>
    </row>
    <row r="23" spans="2:6" x14ac:dyDescent="0.25">
      <c r="B23" s="13"/>
      <c r="C23" s="118" t="s">
        <v>216</v>
      </c>
      <c r="D23" s="4"/>
      <c r="E23" s="14"/>
      <c r="F23" s="15"/>
    </row>
    <row r="24" spans="2:6" x14ac:dyDescent="0.25">
      <c r="B24" s="13"/>
      <c r="C24" s="118" t="s">
        <v>218</v>
      </c>
      <c r="D24" s="4"/>
      <c r="E24" s="29" t="s">
        <v>219</v>
      </c>
      <c r="F24" s="15"/>
    </row>
    <row r="25" spans="2:6" x14ac:dyDescent="0.25">
      <c r="B25" s="13"/>
      <c r="C25" s="118" t="s">
        <v>191</v>
      </c>
      <c r="D25" s="4"/>
      <c r="E25" s="14"/>
      <c r="F25" s="15"/>
    </row>
    <row r="26" spans="2:6" x14ac:dyDescent="0.25">
      <c r="B26" s="13"/>
      <c r="C26" s="120" t="s">
        <v>87</v>
      </c>
      <c r="D26" s="30">
        <f>D25*0.2</f>
        <v>0</v>
      </c>
      <c r="E26" s="29" t="s">
        <v>217</v>
      </c>
      <c r="F26" s="15"/>
    </row>
    <row r="27" spans="2:6" x14ac:dyDescent="0.25">
      <c r="B27" s="13"/>
      <c r="C27" s="118" t="s">
        <v>83</v>
      </c>
      <c r="D27" s="4"/>
      <c r="E27" s="29" t="str">
        <f>IF(D27="לא", "מסמך חובה להגשה", "")</f>
        <v/>
      </c>
      <c r="F27" s="15"/>
    </row>
    <row r="28" spans="2:6" x14ac:dyDescent="0.25">
      <c r="B28" s="13"/>
      <c r="C28" s="118" t="s">
        <v>143</v>
      </c>
      <c r="D28" s="4"/>
      <c r="E28" s="22"/>
      <c r="F28" s="15"/>
    </row>
    <row r="29" spans="2:6" x14ac:dyDescent="0.25">
      <c r="B29" s="19"/>
      <c r="C29" s="122"/>
      <c r="D29" s="20"/>
      <c r="E29" s="20"/>
      <c r="F29" s="21"/>
    </row>
    <row r="30" spans="2:6" x14ac:dyDescent="0.25">
      <c r="B30" s="10" t="s">
        <v>138</v>
      </c>
      <c r="C30" s="121"/>
      <c r="D30" s="11"/>
      <c r="E30" s="11"/>
      <c r="F30" s="12"/>
    </row>
    <row r="31" spans="2:6" x14ac:dyDescent="0.25">
      <c r="B31" s="13"/>
      <c r="C31" s="118" t="s">
        <v>139</v>
      </c>
      <c r="D31" s="14"/>
      <c r="E31" s="14"/>
      <c r="F31" s="15"/>
    </row>
    <row r="32" spans="2:6" x14ac:dyDescent="0.25">
      <c r="B32" s="28"/>
      <c r="C32" s="118" t="s">
        <v>181</v>
      </c>
      <c r="D32" s="14"/>
      <c r="E32" s="14"/>
      <c r="F32" s="15"/>
    </row>
    <row r="33" spans="2:6" x14ac:dyDescent="0.25">
      <c r="B33" s="13"/>
      <c r="C33" s="118" t="s">
        <v>140</v>
      </c>
      <c r="D33" s="14"/>
      <c r="E33" s="14"/>
      <c r="F33" s="15"/>
    </row>
    <row r="34" spans="2:6" x14ac:dyDescent="0.25">
      <c r="B34" s="13"/>
      <c r="C34" s="118" t="s">
        <v>141</v>
      </c>
      <c r="D34" s="14"/>
      <c r="E34" s="14"/>
      <c r="F34" s="15"/>
    </row>
    <row r="35" spans="2:6" x14ac:dyDescent="0.25">
      <c r="B35" s="13"/>
      <c r="C35" s="118" t="s">
        <v>142</v>
      </c>
      <c r="D35" s="14"/>
      <c r="E35" s="14"/>
      <c r="F35" s="15"/>
    </row>
    <row r="36" spans="2:6" x14ac:dyDescent="0.25">
      <c r="B36" s="19"/>
      <c r="C36" s="122"/>
      <c r="D36" s="20"/>
      <c r="E36" s="20"/>
      <c r="F36" s="21"/>
    </row>
  </sheetData>
  <sheetProtection algorithmName="SHA-512" hashValue="XbwY9mVze0BO47s6EHUwSNr7ywnsoFpWh/aRilQV25sylWIRfeH+/ZfxWhVMeuHUDynIBKppTBnSguQQNGoGzA==" saltValue="ySH6iKqgBH99yLQZoLmv3A==" spinCount="100000" sheet="1" formatCells="0" formatColumns="0" formatRows="0"/>
  <dataValidations count="2">
    <dataValidation type="list" allowBlank="1" showInputMessage="1" showErrorMessage="1" sqref="D21" xr:uid="{00000000-0002-0000-0100-000000000000}">
      <formula1>"1,2,3,4,5,6,7,8,9,10"</formula1>
    </dataValidation>
    <dataValidation type="list" allowBlank="1" showInputMessage="1" showErrorMessage="1" sqref="D27:D28 D22" xr:uid="{00000000-0002-0000-0100-000001000000}">
      <formula1>"כן, לא"</formula1>
    </dataValidation>
  </dataValidations>
  <pageMargins left="0.70866141732283472" right="0.70866141732283472"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30"/>
  <sheetViews>
    <sheetView rightToLeft="1" zoomScaleNormal="100" workbookViewId="0"/>
  </sheetViews>
  <sheetFormatPr defaultColWidth="33.5" defaultRowHeight="13.8" x14ac:dyDescent="0.25"/>
  <cols>
    <col min="1" max="1" width="2.59765625" style="47" customWidth="1"/>
    <col min="2" max="2" width="17.59765625" style="161" customWidth="1"/>
    <col min="3" max="3" width="42.8984375" style="161" customWidth="1"/>
    <col min="4" max="5" width="6.59765625" style="47" customWidth="1"/>
    <col min="6" max="6" width="8.8984375" style="47" customWidth="1"/>
    <col min="7" max="7" width="11.3984375" style="162" customWidth="1"/>
    <col min="8" max="8" width="10" style="162" customWidth="1"/>
    <col min="9" max="9" width="1.8984375" style="47" customWidth="1"/>
    <col min="10" max="10" width="5.5" style="47" customWidth="1"/>
    <col min="11" max="11" width="17.3984375" style="47" customWidth="1"/>
    <col min="12" max="12" width="20.59765625" style="47" customWidth="1"/>
    <col min="13" max="13" width="2.69921875" style="47" customWidth="1"/>
    <col min="14" max="14" width="7.59765625" style="47" customWidth="1"/>
    <col min="15" max="15" width="9.09765625" style="47" customWidth="1"/>
    <col min="16" max="16" width="11" style="162" customWidth="1"/>
    <col min="17" max="17" width="17.5" style="47" customWidth="1"/>
    <col min="18" max="18" width="2.8984375" style="47" customWidth="1"/>
    <col min="19" max="19" width="10.19921875" style="161" customWidth="1"/>
    <col min="20" max="20" width="7.59765625" style="45" customWidth="1"/>
    <col min="21" max="21" width="10.09765625" style="47" customWidth="1"/>
    <col min="22" max="22" width="10" style="162" customWidth="1"/>
    <col min="23" max="23" width="20.59765625" style="47" customWidth="1"/>
    <col min="24" max="16384" width="33.5" style="47"/>
  </cols>
  <sheetData>
    <row r="1" spans="2:23" x14ac:dyDescent="0.25">
      <c r="B1" s="40" t="str">
        <f>'הסבר תקן'!C10</f>
        <v xml:space="preserve">תקן הצטיידות למסגרות תעסוקה מוגנת   - ינואר 2024 </v>
      </c>
      <c r="C1" s="156"/>
      <c r="D1" s="156"/>
      <c r="E1" s="156"/>
      <c r="F1" s="156"/>
      <c r="G1" s="23" t="str">
        <f>'שאלון למילוי הגוף-חובה'!$C$24</f>
        <v>כמות מקבלי השירות המתוכננת במסגרת:</v>
      </c>
      <c r="H1" s="157">
        <f>'שאלון למילוי הגוף-חובה'!$D$24</f>
        <v>0</v>
      </c>
      <c r="I1" s="158"/>
      <c r="J1" s="159" t="s">
        <v>192</v>
      </c>
      <c r="K1" s="159"/>
      <c r="L1" s="159"/>
      <c r="M1" s="75"/>
      <c r="N1" s="159" t="str">
        <f>J1</f>
        <v>יש למלא את התאים בצבע ורוד בלבד</v>
      </c>
      <c r="O1" s="160"/>
      <c r="P1" s="160"/>
      <c r="Q1" s="159"/>
    </row>
    <row r="2" spans="2:23" ht="15" customHeight="1" x14ac:dyDescent="0.25">
      <c r="B2" s="161" t="s">
        <v>94</v>
      </c>
      <c r="C2" s="47"/>
      <c r="G2" s="47"/>
    </row>
    <row r="3" spans="2:23" s="55" customFormat="1" x14ac:dyDescent="0.25">
      <c r="B3" s="217" t="s">
        <v>85</v>
      </c>
      <c r="C3" s="163"/>
      <c r="D3" s="163"/>
      <c r="E3" s="163"/>
      <c r="F3" s="163"/>
      <c r="G3" s="163"/>
      <c r="H3" s="164"/>
      <c r="J3" s="69" t="s">
        <v>104</v>
      </c>
      <c r="K3" s="163"/>
      <c r="L3" s="164"/>
      <c r="N3" s="69" t="s">
        <v>10</v>
      </c>
      <c r="O3" s="163"/>
      <c r="P3" s="163"/>
      <c r="Q3" s="164"/>
      <c r="S3" s="69" t="s">
        <v>204</v>
      </c>
      <c r="T3" s="163"/>
      <c r="U3" s="163"/>
      <c r="V3" s="163"/>
      <c r="W3" s="164"/>
    </row>
    <row r="4" spans="2:23" s="139" customFormat="1" ht="41.4" x14ac:dyDescent="0.25">
      <c r="B4" s="71" t="s">
        <v>17</v>
      </c>
      <c r="C4" s="71" t="s">
        <v>18</v>
      </c>
      <c r="D4" s="71" t="s">
        <v>19</v>
      </c>
      <c r="E4" s="71" t="s">
        <v>20</v>
      </c>
      <c r="F4" s="71" t="s">
        <v>16</v>
      </c>
      <c r="G4" s="72" t="s">
        <v>64</v>
      </c>
      <c r="H4" s="72" t="s">
        <v>40</v>
      </c>
      <c r="I4" s="55"/>
      <c r="J4" s="71" t="s">
        <v>103</v>
      </c>
      <c r="K4" s="71" t="s">
        <v>105</v>
      </c>
      <c r="L4" s="71" t="s">
        <v>2</v>
      </c>
      <c r="M4" s="55"/>
      <c r="N4" s="71" t="s">
        <v>1</v>
      </c>
      <c r="O4" s="71" t="s">
        <v>3</v>
      </c>
      <c r="P4" s="72" t="s">
        <v>132</v>
      </c>
      <c r="Q4" s="71" t="s">
        <v>2</v>
      </c>
      <c r="R4" s="55"/>
      <c r="S4" s="71" t="s">
        <v>205</v>
      </c>
      <c r="T4" s="71" t="s">
        <v>11</v>
      </c>
      <c r="U4" s="71" t="s">
        <v>3</v>
      </c>
      <c r="V4" s="72" t="s">
        <v>108</v>
      </c>
      <c r="W4" s="71" t="s">
        <v>2</v>
      </c>
    </row>
    <row r="5" spans="2:23" ht="55.2" x14ac:dyDescent="0.25">
      <c r="B5" s="95" t="s">
        <v>183</v>
      </c>
      <c r="C5" s="81" t="s">
        <v>220</v>
      </c>
      <c r="D5" s="90" t="s">
        <v>25</v>
      </c>
      <c r="E5" s="90">
        <f>1.2/3</f>
        <v>0.39999999999999997</v>
      </c>
      <c r="F5" s="90">
        <f>ROUND(E5*'שאלון למילוי הגוף-חובה'!$D$24,0)</f>
        <v>0</v>
      </c>
      <c r="G5" s="91">
        <v>3000</v>
      </c>
      <c r="H5" s="91">
        <f>G5*F5</f>
        <v>0</v>
      </c>
      <c r="J5" s="83"/>
      <c r="K5" s="84"/>
      <c r="L5" s="85"/>
      <c r="N5" s="224"/>
      <c r="O5" s="86" t="str">
        <f>IFERROR(IF(N5=0,"",IF(OR(N5-F5&gt;0,N5-F5&lt;0), (N5-F5)/F5, "")), "")</f>
        <v/>
      </c>
      <c r="P5" s="87">
        <f>N5*G5</f>
        <v>0</v>
      </c>
      <c r="Q5" s="83" t="str">
        <f>IF(N5&gt;F5,"נא להסביר חריגה כאן","")</f>
        <v/>
      </c>
      <c r="S5" s="1"/>
      <c r="T5" s="2" t="str">
        <f t="shared" ref="T5:T10" si="0">IF(ISBLANK(S5),"",IF(S5="מאשר",N5,""))</f>
        <v/>
      </c>
      <c r="U5" s="86" t="str">
        <f t="shared" ref="U5" si="1">IFERROR(IF(T5=0,"",IF(OR(T5-F5&gt;0,T5-F5&lt;0), (T5-F5)/F5, "")), "")</f>
        <v/>
      </c>
      <c r="V5" s="87" t="str">
        <f>IFERROR(IF(T5="","",T5*G5),"")</f>
        <v/>
      </c>
      <c r="W5" s="1"/>
    </row>
    <row r="6" spans="2:23" x14ac:dyDescent="0.25">
      <c r="B6" s="92" t="s">
        <v>145</v>
      </c>
      <c r="C6" s="88" t="s">
        <v>23</v>
      </c>
      <c r="D6" s="90" t="s">
        <v>25</v>
      </c>
      <c r="E6" s="90">
        <v>1</v>
      </c>
      <c r="F6" s="90">
        <f>ROUNDUP(E6*'שאלון למילוי הגוף-חובה'!$D$24,0)</f>
        <v>0</v>
      </c>
      <c r="G6" s="82">
        <v>600</v>
      </c>
      <c r="H6" s="87">
        <f t="shared" ref="H6:H10" si="2">G6*F6</f>
        <v>0</v>
      </c>
      <c r="J6" s="83"/>
      <c r="K6" s="84"/>
      <c r="L6" s="85"/>
      <c r="N6" s="224"/>
      <c r="O6" s="86" t="str">
        <f t="shared" ref="O6:O10" si="3">IFERROR(IF(N6=0,"",IF(OR(N6-F6&gt;0,N6-F6&lt;0), (N6-F6)/F6, "")), "")</f>
        <v/>
      </c>
      <c r="P6" s="87">
        <f t="shared" ref="P6:P8" si="4">N6*G6</f>
        <v>0</v>
      </c>
      <c r="Q6" s="83" t="str">
        <f t="shared" ref="Q6:Q10" si="5">IF(N6&gt;F6,"נא להסביר חריגה כאן","")</f>
        <v/>
      </c>
      <c r="S6" s="1"/>
      <c r="T6" s="2" t="str">
        <f t="shared" si="0"/>
        <v/>
      </c>
      <c r="U6" s="86" t="str">
        <f t="shared" ref="U6:U10" si="6">IFERROR(IF(T6=0,"",IF(OR(T6-F6&gt;0,T6-F6&lt;0), (T6-F6)/F6, "")), "")</f>
        <v/>
      </c>
      <c r="V6" s="87" t="str">
        <f t="shared" ref="V6:V10" si="7">IFERROR(IF(T6="","",T6*G6),"")</f>
        <v/>
      </c>
      <c r="W6" s="1"/>
    </row>
    <row r="7" spans="2:23" ht="27.6" x14ac:dyDescent="0.25">
      <c r="B7" s="93"/>
      <c r="C7" s="88" t="s">
        <v>221</v>
      </c>
      <c r="D7" s="90" t="s">
        <v>25</v>
      </c>
      <c r="E7" s="90">
        <v>1</v>
      </c>
      <c r="F7" s="90">
        <f>ROUNDUP(E7*'שאלון למילוי הגוף-חובה'!$D$24,0)</f>
        <v>0</v>
      </c>
      <c r="G7" s="87">
        <v>500</v>
      </c>
      <c r="H7" s="91">
        <f t="shared" ref="H7" si="8">G7*F7</f>
        <v>0</v>
      </c>
      <c r="J7" s="83"/>
      <c r="K7" s="84"/>
      <c r="L7" s="85"/>
      <c r="N7" s="224"/>
      <c r="O7" s="86" t="str">
        <f t="shared" si="3"/>
        <v/>
      </c>
      <c r="P7" s="87">
        <f t="shared" si="4"/>
        <v>0</v>
      </c>
      <c r="Q7" s="83" t="str">
        <f t="shared" si="5"/>
        <v/>
      </c>
      <c r="S7" s="1"/>
      <c r="T7" s="2" t="str">
        <f t="shared" si="0"/>
        <v/>
      </c>
      <c r="U7" s="86" t="str">
        <f t="shared" si="6"/>
        <v/>
      </c>
      <c r="V7" s="87" t="str">
        <f t="shared" si="7"/>
        <v/>
      </c>
      <c r="W7" s="1"/>
    </row>
    <row r="8" spans="2:23" x14ac:dyDescent="0.25">
      <c r="B8" s="88" t="s">
        <v>21</v>
      </c>
      <c r="C8" s="88" t="s">
        <v>222</v>
      </c>
      <c r="D8" s="90" t="s">
        <v>25</v>
      </c>
      <c r="E8" s="90">
        <v>0.04</v>
      </c>
      <c r="F8" s="90">
        <f>ROUNDUP(E8*'שאלון למילוי הגוף-חובה'!$D$24,0)</f>
        <v>0</v>
      </c>
      <c r="G8" s="87">
        <v>400</v>
      </c>
      <c r="H8" s="87">
        <f t="shared" si="2"/>
        <v>0</v>
      </c>
      <c r="J8" s="83"/>
      <c r="K8" s="84"/>
      <c r="L8" s="85"/>
      <c r="N8" s="224"/>
      <c r="O8" s="86" t="str">
        <f t="shared" si="3"/>
        <v/>
      </c>
      <c r="P8" s="87">
        <f t="shared" si="4"/>
        <v>0</v>
      </c>
      <c r="Q8" s="83" t="str">
        <f t="shared" si="5"/>
        <v/>
      </c>
      <c r="S8" s="1"/>
      <c r="T8" s="2" t="str">
        <f t="shared" si="0"/>
        <v/>
      </c>
      <c r="U8" s="86" t="str">
        <f t="shared" si="6"/>
        <v/>
      </c>
      <c r="V8" s="87" t="str">
        <f t="shared" si="7"/>
        <v/>
      </c>
      <c r="W8" s="1"/>
    </row>
    <row r="9" spans="2:23" x14ac:dyDescent="0.25">
      <c r="B9" s="88" t="s">
        <v>146</v>
      </c>
      <c r="C9" s="88" t="s">
        <v>24</v>
      </c>
      <c r="D9" s="90" t="s">
        <v>25</v>
      </c>
      <c r="E9" s="94">
        <v>6.25E-2</v>
      </c>
      <c r="F9" s="90">
        <f>ROUNDUP(E9*'שאלון למילוי הגוף-חובה'!$D$24,0)</f>
        <v>0</v>
      </c>
      <c r="G9" s="87">
        <v>4000</v>
      </c>
      <c r="H9" s="87">
        <f t="shared" si="2"/>
        <v>0</v>
      </c>
      <c r="J9" s="83"/>
      <c r="K9" s="84"/>
      <c r="L9" s="85"/>
      <c r="N9" s="224"/>
      <c r="O9" s="86" t="str">
        <f t="shared" si="3"/>
        <v/>
      </c>
      <c r="P9" s="87">
        <f t="shared" ref="P9:P10" si="9">N9*G9</f>
        <v>0</v>
      </c>
      <c r="Q9" s="83" t="str">
        <f t="shared" si="5"/>
        <v/>
      </c>
      <c r="S9" s="1"/>
      <c r="T9" s="2" t="str">
        <f t="shared" si="0"/>
        <v/>
      </c>
      <c r="U9" s="86" t="str">
        <f t="shared" si="6"/>
        <v/>
      </c>
      <c r="V9" s="87" t="str">
        <f t="shared" si="7"/>
        <v/>
      </c>
      <c r="W9" s="1"/>
    </row>
    <row r="10" spans="2:23" ht="41.4" x14ac:dyDescent="0.25">
      <c r="B10" s="88" t="s">
        <v>22</v>
      </c>
      <c r="C10" s="89" t="s">
        <v>122</v>
      </c>
      <c r="D10" s="90" t="s">
        <v>25</v>
      </c>
      <c r="E10" s="90">
        <v>0.16</v>
      </c>
      <c r="F10" s="90">
        <f>ROUNDUP(E10*'שאלון למילוי הגוף-חובה'!$D$24,0)</f>
        <v>0</v>
      </c>
      <c r="G10" s="87">
        <v>3000</v>
      </c>
      <c r="H10" s="87">
        <f t="shared" si="2"/>
        <v>0</v>
      </c>
      <c r="J10" s="83"/>
      <c r="K10" s="84"/>
      <c r="L10" s="85"/>
      <c r="N10" s="224"/>
      <c r="O10" s="86" t="str">
        <f t="shared" si="3"/>
        <v/>
      </c>
      <c r="P10" s="87">
        <f t="shared" si="9"/>
        <v>0</v>
      </c>
      <c r="Q10" s="83" t="str">
        <f t="shared" si="5"/>
        <v/>
      </c>
      <c r="S10" s="1"/>
      <c r="T10" s="2" t="str">
        <f t="shared" si="0"/>
        <v/>
      </c>
      <c r="U10" s="86" t="str">
        <f t="shared" si="6"/>
        <v/>
      </c>
      <c r="V10" s="87" t="str">
        <f t="shared" si="7"/>
        <v/>
      </c>
      <c r="W10" s="1"/>
    </row>
    <row r="11" spans="2:23" s="55" customFormat="1" x14ac:dyDescent="0.25">
      <c r="B11" s="69" t="s">
        <v>4</v>
      </c>
      <c r="C11" s="163"/>
      <c r="D11" s="163"/>
      <c r="E11" s="163"/>
      <c r="F11" s="163"/>
      <c r="G11" s="164"/>
      <c r="H11" s="165">
        <f>SUM(H5:H10)</f>
        <v>0</v>
      </c>
      <c r="J11" s="69"/>
      <c r="K11" s="163"/>
      <c r="L11" s="164"/>
      <c r="N11" s="166"/>
      <c r="O11" s="86" t="str">
        <f>IF(H11=0,"",P11/H11-1)</f>
        <v/>
      </c>
      <c r="P11" s="165">
        <f>SUM(P5:P10)</f>
        <v>0</v>
      </c>
      <c r="Q11" s="166"/>
      <c r="S11" s="71"/>
      <c r="T11" s="66"/>
      <c r="U11" s="86" t="str">
        <f>IF(H11=0,"",V11/H11-1)</f>
        <v/>
      </c>
      <c r="V11" s="165">
        <f>SUM(V5:V10)</f>
        <v>0</v>
      </c>
      <c r="W11" s="166"/>
    </row>
    <row r="13" spans="2:23" s="55" customFormat="1" x14ac:dyDescent="0.25">
      <c r="B13" s="217" t="s">
        <v>88</v>
      </c>
      <c r="C13" s="163"/>
      <c r="D13" s="163"/>
      <c r="E13" s="163"/>
      <c r="F13" s="163"/>
      <c r="G13" s="163"/>
      <c r="H13" s="164"/>
      <c r="J13" s="69" t="s">
        <v>104</v>
      </c>
      <c r="K13" s="163"/>
      <c r="L13" s="164"/>
      <c r="N13" s="69" t="s">
        <v>10</v>
      </c>
      <c r="O13" s="163"/>
      <c r="P13" s="163"/>
      <c r="Q13" s="164"/>
      <c r="S13" s="69" t="s">
        <v>204</v>
      </c>
      <c r="T13" s="163"/>
      <c r="U13" s="163"/>
      <c r="V13" s="163"/>
      <c r="W13" s="164"/>
    </row>
    <row r="14" spans="2:23" s="139" customFormat="1" ht="55.2" x14ac:dyDescent="0.25">
      <c r="B14" s="71" t="s">
        <v>17</v>
      </c>
      <c r="C14" s="71" t="s">
        <v>18</v>
      </c>
      <c r="D14" s="71" t="s">
        <v>19</v>
      </c>
      <c r="E14" s="71" t="s">
        <v>20</v>
      </c>
      <c r="F14" s="71" t="s">
        <v>31</v>
      </c>
      <c r="G14" s="72" t="s">
        <v>64</v>
      </c>
      <c r="H14" s="72" t="s">
        <v>40</v>
      </c>
      <c r="I14" s="55"/>
      <c r="J14" s="71" t="s">
        <v>110</v>
      </c>
      <c r="K14" s="71" t="s">
        <v>105</v>
      </c>
      <c r="L14" s="71" t="s">
        <v>2</v>
      </c>
      <c r="M14" s="55"/>
      <c r="N14" s="71" t="s">
        <v>97</v>
      </c>
      <c r="O14" s="71" t="s">
        <v>3</v>
      </c>
      <c r="P14" s="72" t="s">
        <v>132</v>
      </c>
      <c r="Q14" s="71" t="s">
        <v>2</v>
      </c>
      <c r="R14" s="55"/>
      <c r="S14" s="71" t="s">
        <v>205</v>
      </c>
      <c r="T14" s="71" t="s">
        <v>109</v>
      </c>
      <c r="U14" s="71" t="s">
        <v>3</v>
      </c>
      <c r="V14" s="72" t="s">
        <v>108</v>
      </c>
      <c r="W14" s="71" t="s">
        <v>2</v>
      </c>
    </row>
    <row r="15" spans="2:23" x14ac:dyDescent="0.25">
      <c r="B15" s="167" t="s">
        <v>29</v>
      </c>
      <c r="C15" s="81" t="s">
        <v>158</v>
      </c>
      <c r="D15" s="89" t="s">
        <v>178</v>
      </c>
      <c r="E15" s="90">
        <v>0.4</v>
      </c>
      <c r="F15" s="90">
        <f>E15*'שאלון למילוי הגוף-חובה'!$D$25</f>
        <v>0</v>
      </c>
      <c r="G15" s="91">
        <v>300</v>
      </c>
      <c r="H15" s="91">
        <f>G15*F15</f>
        <v>0</v>
      </c>
      <c r="J15" s="83"/>
      <c r="K15" s="84"/>
      <c r="L15" s="85"/>
      <c r="N15" s="224"/>
      <c r="O15" s="86" t="str">
        <f t="shared" ref="O15" si="10">IFERROR(IF(N15=0,"",IF(OR(N15-F15&gt;0,N15-F15&lt;0), (N15-F15)/F15, "")), "")</f>
        <v/>
      </c>
      <c r="P15" s="87">
        <f t="shared" ref="P15" si="11">N15*G15</f>
        <v>0</v>
      </c>
      <c r="Q15" s="83" t="str">
        <f t="shared" ref="Q15" si="12">IF(N15&gt;F15,"נא להסביר חריגה כאן","")</f>
        <v/>
      </c>
      <c r="S15" s="1"/>
      <c r="T15" s="2" t="str">
        <f t="shared" ref="T15" si="13">IF(ISBLANK(S15),"",IF(S15="מאשר",N15,""))</f>
        <v/>
      </c>
      <c r="U15" s="86" t="str">
        <f t="shared" ref="U15" si="14">IFERROR(IF(T15=0,"",IF(OR(T15-F15&gt;0,T15-F15&lt;0), (T15-F15)/F15, "")), "")</f>
        <v/>
      </c>
      <c r="V15" s="87" t="str">
        <f t="shared" ref="V15" si="15">IFERROR(IF(T15="","",T15*G15),"")</f>
        <v/>
      </c>
      <c r="W15" s="1"/>
    </row>
    <row r="16" spans="2:23" s="55" customFormat="1" x14ac:dyDescent="0.25">
      <c r="B16" s="69" t="s">
        <v>4</v>
      </c>
      <c r="C16" s="163"/>
      <c r="D16" s="163"/>
      <c r="E16" s="163"/>
      <c r="F16" s="163"/>
      <c r="G16" s="164"/>
      <c r="H16" s="165">
        <f>SUM(H15:H15)</f>
        <v>0</v>
      </c>
      <c r="J16" s="69"/>
      <c r="K16" s="163"/>
      <c r="L16" s="164"/>
      <c r="N16" s="166"/>
      <c r="O16" s="86" t="str">
        <f>IF(H16=0,"",P16/H16-1)</f>
        <v/>
      </c>
      <c r="P16" s="165">
        <f>SUM(P15:P15)</f>
        <v>0</v>
      </c>
      <c r="Q16" s="166"/>
      <c r="S16" s="71"/>
      <c r="T16" s="66"/>
      <c r="U16" s="86" t="str">
        <f>IF(H16=0,"",V16/H16-1)</f>
        <v/>
      </c>
      <c r="V16" s="165">
        <f>SUM(V15:V15)</f>
        <v>0</v>
      </c>
      <c r="W16" s="166"/>
    </row>
    <row r="18" spans="2:23" s="55" customFormat="1" x14ac:dyDescent="0.25">
      <c r="B18" s="217" t="s">
        <v>89</v>
      </c>
      <c r="C18" s="163"/>
      <c r="D18" s="163"/>
      <c r="E18" s="163"/>
      <c r="F18" s="163"/>
      <c r="G18" s="163"/>
      <c r="H18" s="164"/>
      <c r="J18" s="69" t="s">
        <v>104</v>
      </c>
      <c r="K18" s="163"/>
      <c r="L18" s="164"/>
      <c r="N18" s="69" t="s">
        <v>10</v>
      </c>
      <c r="O18" s="163"/>
      <c r="P18" s="163"/>
      <c r="Q18" s="164"/>
      <c r="S18" s="69" t="s">
        <v>204</v>
      </c>
      <c r="T18" s="163"/>
      <c r="U18" s="163"/>
      <c r="V18" s="163"/>
      <c r="W18" s="164"/>
    </row>
    <row r="19" spans="2:23" s="139" customFormat="1" ht="41.4" x14ac:dyDescent="0.25">
      <c r="B19" s="71" t="s">
        <v>17</v>
      </c>
      <c r="C19" s="71" t="s">
        <v>18</v>
      </c>
      <c r="D19" s="71" t="s">
        <v>19</v>
      </c>
      <c r="E19" s="71" t="s">
        <v>20</v>
      </c>
      <c r="F19" s="71" t="s">
        <v>48</v>
      </c>
      <c r="G19" s="72" t="s">
        <v>64</v>
      </c>
      <c r="H19" s="72" t="s">
        <v>40</v>
      </c>
      <c r="I19" s="55"/>
      <c r="J19" s="71" t="s">
        <v>103</v>
      </c>
      <c r="K19" s="71" t="s">
        <v>105</v>
      </c>
      <c r="L19" s="71" t="s">
        <v>2</v>
      </c>
      <c r="M19" s="55"/>
      <c r="N19" s="71" t="s">
        <v>1</v>
      </c>
      <c r="O19" s="71" t="s">
        <v>3</v>
      </c>
      <c r="P19" s="72" t="s">
        <v>132</v>
      </c>
      <c r="Q19" s="71" t="s">
        <v>2</v>
      </c>
      <c r="R19" s="55"/>
      <c r="S19" s="71" t="s">
        <v>205</v>
      </c>
      <c r="T19" s="71" t="s">
        <v>11</v>
      </c>
      <c r="U19" s="71" t="s">
        <v>3</v>
      </c>
      <c r="V19" s="72" t="s">
        <v>108</v>
      </c>
      <c r="W19" s="71" t="s">
        <v>2</v>
      </c>
    </row>
    <row r="20" spans="2:23" x14ac:dyDescent="0.25">
      <c r="B20" s="226" t="s">
        <v>130</v>
      </c>
      <c r="C20" s="88" t="s">
        <v>223</v>
      </c>
      <c r="D20" s="90" t="s">
        <v>25</v>
      </c>
      <c r="E20" s="90">
        <v>0.1</v>
      </c>
      <c r="F20" s="90">
        <f>ROUNDUP(E20*'שאלון למילוי הגוף-חובה'!$D$24,0)</f>
        <v>0</v>
      </c>
      <c r="G20" s="82">
        <v>2000</v>
      </c>
      <c r="H20" s="87">
        <f t="shared" ref="H20:H24" si="16">G20*F20</f>
        <v>0</v>
      </c>
      <c r="J20" s="83"/>
      <c r="K20" s="84"/>
      <c r="L20" s="85"/>
      <c r="N20" s="224"/>
      <c r="O20" s="86" t="str">
        <f t="shared" ref="O20:O24" si="17">IFERROR(IF(N20=0,"",IF(OR(N20-F20&gt;0,N20-F20&lt;0), (N20-F20)/F20, "")), "")</f>
        <v/>
      </c>
      <c r="P20" s="87">
        <f t="shared" ref="P20:P24" si="18">N20*G20</f>
        <v>0</v>
      </c>
      <c r="Q20" s="83" t="str">
        <f t="shared" ref="Q20:Q24" si="19">IF(N20&gt;F20,"נא להסביר חריגה כאן","")</f>
        <v/>
      </c>
      <c r="S20" s="1"/>
      <c r="T20" s="2" t="str">
        <f t="shared" ref="T20:T24" si="20">IF(ISBLANK(S20),"",IF(S20="מאשר",N20,""))</f>
        <v/>
      </c>
      <c r="U20" s="86" t="str">
        <f t="shared" ref="U20:U24" si="21">IFERROR(IF(T20=0,"",IF(OR(T20-F20&gt;0,T20-F20&lt;0), (T20-F20)/F20, "")), "")</f>
        <v/>
      </c>
      <c r="V20" s="87" t="str">
        <f t="shared" ref="V20:V24" si="22">IFERROR(IF(T20="","",T20*G20),"")</f>
        <v/>
      </c>
      <c r="W20" s="1"/>
    </row>
    <row r="21" spans="2:23" x14ac:dyDescent="0.25">
      <c r="B21" s="227"/>
      <c r="C21" s="88" t="s">
        <v>224</v>
      </c>
      <c r="D21" s="90" t="s">
        <v>25</v>
      </c>
      <c r="E21" s="90">
        <v>0.25</v>
      </c>
      <c r="F21" s="90">
        <f>ROUNDUP(E21*'שאלון למילוי הגוף-חובה'!$D$24,0)</f>
        <v>0</v>
      </c>
      <c r="G21" s="82">
        <v>250</v>
      </c>
      <c r="H21" s="87">
        <f t="shared" si="16"/>
        <v>0</v>
      </c>
      <c r="J21" s="83"/>
      <c r="K21" s="84"/>
      <c r="L21" s="85"/>
      <c r="N21" s="224"/>
      <c r="O21" s="86" t="str">
        <f t="shared" si="17"/>
        <v/>
      </c>
      <c r="P21" s="87">
        <f t="shared" si="18"/>
        <v>0</v>
      </c>
      <c r="Q21" s="83" t="str">
        <f t="shared" si="19"/>
        <v/>
      </c>
      <c r="S21" s="1"/>
      <c r="T21" s="2" t="str">
        <f t="shared" si="20"/>
        <v/>
      </c>
      <c r="U21" s="86" t="str">
        <f t="shared" si="21"/>
        <v/>
      </c>
      <c r="V21" s="87" t="str">
        <f t="shared" si="22"/>
        <v/>
      </c>
      <c r="W21" s="1"/>
    </row>
    <row r="22" spans="2:23" x14ac:dyDescent="0.25">
      <c r="B22" s="227"/>
      <c r="C22" s="89" t="s">
        <v>225</v>
      </c>
      <c r="D22" s="168" t="s">
        <v>25</v>
      </c>
      <c r="E22" s="168">
        <v>0.1</v>
      </c>
      <c r="F22" s="90">
        <f>ROUNDUP(E22*'שאלון למילוי הגוף-חובה'!$D$24,0)</f>
        <v>0</v>
      </c>
      <c r="G22" s="82">
        <v>1500</v>
      </c>
      <c r="H22" s="82">
        <f t="shared" si="16"/>
        <v>0</v>
      </c>
      <c r="J22" s="83"/>
      <c r="K22" s="84"/>
      <c r="L22" s="85"/>
      <c r="N22" s="224"/>
      <c r="O22" s="86" t="str">
        <f t="shared" si="17"/>
        <v/>
      </c>
      <c r="P22" s="87">
        <f t="shared" si="18"/>
        <v>0</v>
      </c>
      <c r="Q22" s="83" t="str">
        <f t="shared" si="19"/>
        <v/>
      </c>
      <c r="S22" s="1"/>
      <c r="T22" s="2" t="str">
        <f t="shared" si="20"/>
        <v/>
      </c>
      <c r="U22" s="86" t="str">
        <f t="shared" si="21"/>
        <v/>
      </c>
      <c r="V22" s="87" t="str">
        <f t="shared" si="22"/>
        <v/>
      </c>
      <c r="W22" s="1"/>
    </row>
    <row r="23" spans="2:23" x14ac:dyDescent="0.25">
      <c r="B23" s="228"/>
      <c r="C23" s="89" t="s">
        <v>226</v>
      </c>
      <c r="D23" s="168" t="s">
        <v>25</v>
      </c>
      <c r="E23" s="168">
        <v>0.1</v>
      </c>
      <c r="F23" s="90">
        <f>ROUNDUP(E23*'שאלון למילוי הגוף-חובה'!$D$24,0)</f>
        <v>0</v>
      </c>
      <c r="G23" s="82">
        <v>2000</v>
      </c>
      <c r="H23" s="82">
        <f t="shared" si="16"/>
        <v>0</v>
      </c>
      <c r="J23" s="83"/>
      <c r="K23" s="84"/>
      <c r="L23" s="85"/>
      <c r="N23" s="224"/>
      <c r="O23" s="86" t="str">
        <f t="shared" si="17"/>
        <v/>
      </c>
      <c r="P23" s="87">
        <f t="shared" si="18"/>
        <v>0</v>
      </c>
      <c r="Q23" s="83" t="str">
        <f t="shared" si="19"/>
        <v/>
      </c>
      <c r="S23" s="1"/>
      <c r="T23" s="2" t="str">
        <f t="shared" si="20"/>
        <v/>
      </c>
      <c r="U23" s="86" t="str">
        <f t="shared" si="21"/>
        <v/>
      </c>
      <c r="V23" s="87" t="str">
        <f t="shared" si="22"/>
        <v/>
      </c>
      <c r="W23" s="1"/>
    </row>
    <row r="24" spans="2:23" x14ac:dyDescent="0.25">
      <c r="B24" s="88" t="s">
        <v>49</v>
      </c>
      <c r="C24" s="89" t="s">
        <v>147</v>
      </c>
      <c r="D24" s="168" t="s">
        <v>50</v>
      </c>
      <c r="E24" s="169"/>
      <c r="F24" s="90">
        <v>1</v>
      </c>
      <c r="G24" s="82">
        <v>10000</v>
      </c>
      <c r="H24" s="82">
        <f t="shared" si="16"/>
        <v>10000</v>
      </c>
      <c r="J24" s="83"/>
      <c r="K24" s="84"/>
      <c r="L24" s="85"/>
      <c r="N24" s="224"/>
      <c r="O24" s="86" t="str">
        <f t="shared" si="17"/>
        <v/>
      </c>
      <c r="P24" s="87">
        <f t="shared" si="18"/>
        <v>0</v>
      </c>
      <c r="Q24" s="83" t="str">
        <f t="shared" si="19"/>
        <v/>
      </c>
      <c r="S24" s="1"/>
      <c r="T24" s="2" t="str">
        <f t="shared" si="20"/>
        <v/>
      </c>
      <c r="U24" s="86" t="str">
        <f t="shared" si="21"/>
        <v/>
      </c>
      <c r="V24" s="87" t="str">
        <f t="shared" si="22"/>
        <v/>
      </c>
      <c r="W24" s="1"/>
    </row>
    <row r="25" spans="2:23" s="55" customFormat="1" x14ac:dyDescent="0.25">
      <c r="B25" s="69" t="s">
        <v>4</v>
      </c>
      <c r="C25" s="163"/>
      <c r="D25" s="163"/>
      <c r="E25" s="163"/>
      <c r="F25" s="163"/>
      <c r="G25" s="164"/>
      <c r="H25" s="165">
        <f>SUM(H20:H24)</f>
        <v>10000</v>
      </c>
      <c r="J25" s="69"/>
      <c r="K25" s="163"/>
      <c r="L25" s="164"/>
      <c r="N25" s="166"/>
      <c r="O25" s="86">
        <f>IF(H25=0,"",P25/H25-1)</f>
        <v>-1</v>
      </c>
      <c r="P25" s="165">
        <f>SUM(P20:P24)</f>
        <v>0</v>
      </c>
      <c r="Q25" s="166"/>
      <c r="S25" s="71"/>
      <c r="T25" s="66"/>
      <c r="U25" s="86">
        <f>IF(H25=0,"",V25/H25-1)</f>
        <v>-1</v>
      </c>
      <c r="V25" s="165">
        <f>SUM(V20:V24)</f>
        <v>0</v>
      </c>
      <c r="W25" s="166"/>
    </row>
    <row r="27" spans="2:23" s="55" customFormat="1" x14ac:dyDescent="0.25">
      <c r="B27" s="217" t="s">
        <v>90</v>
      </c>
      <c r="C27" s="163"/>
      <c r="D27" s="163"/>
      <c r="E27" s="163"/>
      <c r="F27" s="163"/>
      <c r="G27" s="163"/>
      <c r="H27" s="164"/>
      <c r="J27" s="69" t="s">
        <v>104</v>
      </c>
      <c r="K27" s="163"/>
      <c r="L27" s="164"/>
      <c r="N27" s="69" t="s">
        <v>10</v>
      </c>
      <c r="O27" s="163"/>
      <c r="P27" s="163"/>
      <c r="Q27" s="164"/>
      <c r="S27" s="69" t="s">
        <v>204</v>
      </c>
      <c r="T27" s="163"/>
      <c r="U27" s="163"/>
      <c r="V27" s="163"/>
      <c r="W27" s="164"/>
    </row>
    <row r="28" spans="2:23" s="139" customFormat="1" ht="41.4" x14ac:dyDescent="0.25">
      <c r="B28" s="71" t="s">
        <v>17</v>
      </c>
      <c r="C28" s="71" t="s">
        <v>18</v>
      </c>
      <c r="D28" s="71" t="s">
        <v>19</v>
      </c>
      <c r="E28" s="71" t="s">
        <v>20</v>
      </c>
      <c r="F28" s="71" t="s">
        <v>53</v>
      </c>
      <c r="G28" s="72" t="s">
        <v>64</v>
      </c>
      <c r="H28" s="72" t="s">
        <v>40</v>
      </c>
      <c r="I28" s="55"/>
      <c r="J28" s="71" t="s">
        <v>106</v>
      </c>
      <c r="K28" s="71" t="s">
        <v>105</v>
      </c>
      <c r="L28" s="71" t="s">
        <v>2</v>
      </c>
      <c r="M28" s="55"/>
      <c r="N28" s="71" t="s">
        <v>98</v>
      </c>
      <c r="O28" s="71" t="s">
        <v>3</v>
      </c>
      <c r="P28" s="72" t="s">
        <v>132</v>
      </c>
      <c r="Q28" s="71" t="s">
        <v>2</v>
      </c>
      <c r="R28" s="55"/>
      <c r="S28" s="71" t="s">
        <v>205</v>
      </c>
      <c r="T28" s="71" t="s">
        <v>111</v>
      </c>
      <c r="U28" s="71" t="s">
        <v>3</v>
      </c>
      <c r="V28" s="72"/>
      <c r="W28" s="71" t="s">
        <v>2</v>
      </c>
    </row>
    <row r="29" spans="2:23" x14ac:dyDescent="0.25">
      <c r="B29" s="167" t="s">
        <v>51</v>
      </c>
      <c r="C29" s="89" t="s">
        <v>177</v>
      </c>
      <c r="D29" s="90" t="s">
        <v>52</v>
      </c>
      <c r="E29" s="90">
        <v>1</v>
      </c>
      <c r="F29" s="90">
        <f>'שאלון למילוי הגוף-חובה'!$D$26</f>
        <v>0</v>
      </c>
      <c r="G29" s="91">
        <v>900</v>
      </c>
      <c r="H29" s="91">
        <f>G29*F29</f>
        <v>0</v>
      </c>
      <c r="J29" s="83"/>
      <c r="K29" s="84"/>
      <c r="L29" s="85"/>
      <c r="N29" s="224"/>
      <c r="O29" s="86" t="str">
        <f t="shared" ref="O29" si="23">IFERROR(IF(N29=0,"",IF(OR(N29-F29&gt;0,N29-F29&lt;0), (N29-F29)/F29, "")), "")</f>
        <v/>
      </c>
      <c r="P29" s="87">
        <f t="shared" ref="P29" si="24">N29*G29</f>
        <v>0</v>
      </c>
      <c r="Q29" s="83" t="str">
        <f t="shared" ref="Q29" si="25">IF(N29&gt;F29,"נא להסביר חריגה כאן","")</f>
        <v/>
      </c>
      <c r="S29" s="1" t="s">
        <v>215</v>
      </c>
      <c r="T29" s="2">
        <f t="shared" ref="T29" si="26">IF(ISBLANK(S29),"",IF(S29="מאשר",N29,""))</f>
        <v>0</v>
      </c>
      <c r="U29" s="86" t="str">
        <f t="shared" ref="U29" si="27">IFERROR(IF(T29=0,"",IF(OR(T29-F29&gt;0,T29-F29&lt;0), (T29-F29)/F29, "")), "")</f>
        <v/>
      </c>
      <c r="V29" s="87">
        <f t="shared" ref="V29" si="28">IFERROR(IF(T29="","",T29*G29),"")</f>
        <v>0</v>
      </c>
      <c r="W29" s="1"/>
    </row>
    <row r="30" spans="2:23" s="55" customFormat="1" x14ac:dyDescent="0.25">
      <c r="B30" s="69" t="s">
        <v>4</v>
      </c>
      <c r="C30" s="163"/>
      <c r="D30" s="163"/>
      <c r="E30" s="163"/>
      <c r="F30" s="163"/>
      <c r="G30" s="164"/>
      <c r="H30" s="165">
        <f>SUM(H29:H29)</f>
        <v>0</v>
      </c>
      <c r="J30" s="69"/>
      <c r="K30" s="163"/>
      <c r="L30" s="164"/>
      <c r="N30" s="166"/>
      <c r="O30" s="86" t="str">
        <f>IF(H30=0,"",P30/H30-1)</f>
        <v/>
      </c>
      <c r="P30" s="165">
        <f>SUM(P29:P29)</f>
        <v>0</v>
      </c>
      <c r="Q30" s="166"/>
      <c r="S30" s="71"/>
      <c r="T30" s="66"/>
      <c r="U30" s="86" t="str">
        <f>IF(H30=0,"",V30/H30-1)</f>
        <v/>
      </c>
      <c r="V30" s="165">
        <f>SUM(V29:V29)</f>
        <v>0</v>
      </c>
      <c r="W30" s="166"/>
    </row>
  </sheetData>
  <sheetProtection algorithmName="SHA-512" hashValue="ByfYvKit0tvQ6stO8sQFTcg119EXZifDmTIXG4wrSzsSIdCV52fSuxkBvZjSG3VupIMH58cvixtn7Rd9TMPyYA==" saltValue="FrhYKQkxmXbtVQW4/qyVcQ==" spinCount="100000" sheet="1" formatCells="0" formatColumns="0" formatRows="0"/>
  <mergeCells count="1">
    <mergeCell ref="B20:B23"/>
  </mergeCells>
  <conditionalFormatting sqref="O5 U5:U10">
    <cfRule type="cellIs" dxfId="161" priority="123" operator="greaterThan">
      <formula>0</formula>
    </cfRule>
  </conditionalFormatting>
  <conditionalFormatting sqref="U5:U10 O5:O11">
    <cfRule type="cellIs" dxfId="160" priority="119" operator="greaterThan">
      <formula>0</formula>
    </cfRule>
    <cfRule type="cellIs" dxfId="159" priority="120" operator="greaterThan">
      <formula>0</formula>
    </cfRule>
    <cfRule type="cellIs" dxfId="158" priority="122" operator="greaterThan">
      <formula>0</formula>
    </cfRule>
  </conditionalFormatting>
  <conditionalFormatting sqref="U5:U10 O5:O11">
    <cfRule type="cellIs" dxfId="157" priority="121" operator="greaterThan">
      <formula>0</formula>
    </cfRule>
  </conditionalFormatting>
  <conditionalFormatting sqref="U20:U24">
    <cfRule type="cellIs" dxfId="156" priority="98" operator="greaterThan">
      <formula>0</formula>
    </cfRule>
  </conditionalFormatting>
  <conditionalFormatting sqref="U20:U24">
    <cfRule type="cellIs" dxfId="155" priority="94" operator="greaterThan">
      <formula>0</formula>
    </cfRule>
    <cfRule type="cellIs" dxfId="154" priority="95" operator="greaterThan">
      <formula>0</formula>
    </cfRule>
    <cfRule type="cellIs" dxfId="153" priority="97" operator="greaterThan">
      <formula>0</formula>
    </cfRule>
  </conditionalFormatting>
  <conditionalFormatting sqref="U20:U24">
    <cfRule type="cellIs" dxfId="152" priority="96" operator="greaterThan">
      <formula>0</formula>
    </cfRule>
  </conditionalFormatting>
  <conditionalFormatting sqref="O20:O24">
    <cfRule type="cellIs" dxfId="151" priority="113" operator="greaterThan">
      <formula>0</formula>
    </cfRule>
  </conditionalFormatting>
  <conditionalFormatting sqref="O20:O24">
    <cfRule type="cellIs" dxfId="150" priority="109" operator="greaterThan">
      <formula>0</formula>
    </cfRule>
    <cfRule type="cellIs" dxfId="149" priority="110" operator="greaterThan">
      <formula>0</formula>
    </cfRule>
    <cfRule type="cellIs" dxfId="148" priority="112" operator="greaterThan">
      <formula>0</formula>
    </cfRule>
  </conditionalFormatting>
  <conditionalFormatting sqref="O20:O24">
    <cfRule type="cellIs" dxfId="147" priority="111" operator="greaterThan">
      <formula>0</formula>
    </cfRule>
  </conditionalFormatting>
  <conditionalFormatting sqref="O29">
    <cfRule type="cellIs" dxfId="146" priority="73" operator="greaterThan">
      <formula>0</formula>
    </cfRule>
  </conditionalFormatting>
  <conditionalFormatting sqref="O29">
    <cfRule type="cellIs" dxfId="145" priority="69" operator="greaterThan">
      <formula>0</formula>
    </cfRule>
    <cfRule type="cellIs" dxfId="144" priority="70" operator="greaterThan">
      <formula>0</formula>
    </cfRule>
    <cfRule type="cellIs" dxfId="143" priority="72" operator="greaterThan">
      <formula>0</formula>
    </cfRule>
  </conditionalFormatting>
  <conditionalFormatting sqref="O29">
    <cfRule type="cellIs" dxfId="142" priority="71" operator="greaterThan">
      <formula>0</formula>
    </cfRule>
  </conditionalFormatting>
  <conditionalFormatting sqref="O15">
    <cfRule type="cellIs" dxfId="141" priority="83" operator="greaterThan">
      <formula>0</formula>
    </cfRule>
  </conditionalFormatting>
  <conditionalFormatting sqref="O15">
    <cfRule type="cellIs" dxfId="140" priority="79" operator="greaterThan">
      <formula>0</formula>
    </cfRule>
    <cfRule type="cellIs" dxfId="139" priority="80" operator="greaterThan">
      <formula>0</formula>
    </cfRule>
    <cfRule type="cellIs" dxfId="138" priority="82" operator="greaterThan">
      <formula>0</formula>
    </cfRule>
  </conditionalFormatting>
  <conditionalFormatting sqref="O15">
    <cfRule type="cellIs" dxfId="137" priority="81" operator="greaterThan">
      <formula>0</formula>
    </cfRule>
  </conditionalFormatting>
  <conditionalFormatting sqref="U15">
    <cfRule type="cellIs" dxfId="136" priority="78" operator="greaterThan">
      <formula>0</formula>
    </cfRule>
  </conditionalFormatting>
  <conditionalFormatting sqref="U15">
    <cfRule type="cellIs" dxfId="135" priority="74" operator="greaterThan">
      <formula>0</formula>
    </cfRule>
    <cfRule type="cellIs" dxfId="134" priority="75" operator="greaterThan">
      <formula>0</formula>
    </cfRule>
    <cfRule type="cellIs" dxfId="133" priority="77" operator="greaterThan">
      <formula>0</formula>
    </cfRule>
  </conditionalFormatting>
  <conditionalFormatting sqref="U15">
    <cfRule type="cellIs" dxfId="132" priority="76" operator="greaterThan">
      <formula>0</formula>
    </cfRule>
  </conditionalFormatting>
  <conditionalFormatting sqref="U29">
    <cfRule type="cellIs" dxfId="131" priority="68" operator="greaterThan">
      <formula>0</formula>
    </cfRule>
  </conditionalFormatting>
  <conditionalFormatting sqref="U29">
    <cfRule type="cellIs" dxfId="130" priority="64" operator="greaterThan">
      <formula>0</formula>
    </cfRule>
    <cfRule type="cellIs" dxfId="129" priority="65" operator="greaterThan">
      <formula>0</formula>
    </cfRule>
    <cfRule type="cellIs" dxfId="128" priority="67" operator="greaterThan">
      <formula>0</formula>
    </cfRule>
  </conditionalFormatting>
  <conditionalFormatting sqref="U29">
    <cfRule type="cellIs" dxfId="127" priority="66" operator="greaterThan">
      <formula>0</formula>
    </cfRule>
  </conditionalFormatting>
  <conditionalFormatting sqref="U11">
    <cfRule type="cellIs" dxfId="126" priority="51" operator="greaterThan">
      <formula>0</formula>
    </cfRule>
  </conditionalFormatting>
  <conditionalFormatting sqref="U11">
    <cfRule type="cellIs" dxfId="125" priority="47" operator="greaterThan">
      <formula>0</formula>
    </cfRule>
    <cfRule type="cellIs" dxfId="124" priority="48" operator="greaterThan">
      <formula>0</formula>
    </cfRule>
    <cfRule type="cellIs" dxfId="123" priority="50" operator="greaterThan">
      <formula>0</formula>
    </cfRule>
  </conditionalFormatting>
  <conditionalFormatting sqref="U11">
    <cfRule type="cellIs" dxfId="122" priority="49" operator="greaterThan">
      <formula>0</formula>
    </cfRule>
  </conditionalFormatting>
  <conditionalFormatting sqref="O16">
    <cfRule type="cellIs" dxfId="121" priority="24" operator="greaterThan">
      <formula>0</formula>
    </cfRule>
    <cfRule type="cellIs" dxfId="120" priority="25" operator="greaterThan">
      <formula>0</formula>
    </cfRule>
    <cfRule type="cellIs" dxfId="119" priority="27" operator="greaterThan">
      <formula>0</formula>
    </cfRule>
  </conditionalFormatting>
  <conditionalFormatting sqref="O16">
    <cfRule type="cellIs" dxfId="118" priority="26" operator="greaterThan">
      <formula>0</formula>
    </cfRule>
  </conditionalFormatting>
  <conditionalFormatting sqref="O25">
    <cfRule type="cellIs" dxfId="117" priority="20" operator="greaterThan">
      <formula>0</formula>
    </cfRule>
    <cfRule type="cellIs" dxfId="116" priority="21" operator="greaterThan">
      <formula>0</formula>
    </cfRule>
    <cfRule type="cellIs" dxfId="115" priority="23" operator="greaterThan">
      <formula>0</formula>
    </cfRule>
  </conditionalFormatting>
  <conditionalFormatting sqref="O25">
    <cfRule type="cellIs" dxfId="114" priority="22" operator="greaterThan">
      <formula>0</formula>
    </cfRule>
  </conditionalFormatting>
  <conditionalFormatting sqref="O30">
    <cfRule type="cellIs" dxfId="113" priority="16" operator="greaterThan">
      <formula>0</formula>
    </cfRule>
    <cfRule type="cellIs" dxfId="112" priority="17" operator="greaterThan">
      <formula>0</formula>
    </cfRule>
    <cfRule type="cellIs" dxfId="111" priority="19" operator="greaterThan">
      <formula>0</formula>
    </cfRule>
  </conditionalFormatting>
  <conditionalFormatting sqref="O30">
    <cfRule type="cellIs" dxfId="110" priority="18" operator="greaterThan">
      <formula>0</formula>
    </cfRule>
  </conditionalFormatting>
  <conditionalFormatting sqref="U16">
    <cfRule type="cellIs" dxfId="109" priority="15" operator="greaterThan">
      <formula>0</formula>
    </cfRule>
  </conditionalFormatting>
  <conditionalFormatting sqref="U16">
    <cfRule type="cellIs" dxfId="108" priority="11" operator="greaterThan">
      <formula>0</formula>
    </cfRule>
    <cfRule type="cellIs" dxfId="107" priority="12" operator="greaterThan">
      <formula>0</formula>
    </cfRule>
    <cfRule type="cellIs" dxfId="106" priority="14" operator="greaterThan">
      <formula>0</formula>
    </cfRule>
  </conditionalFormatting>
  <conditionalFormatting sqref="U16">
    <cfRule type="cellIs" dxfId="105" priority="13" operator="greaterThan">
      <formula>0</formula>
    </cfRule>
  </conditionalFormatting>
  <conditionalFormatting sqref="U25">
    <cfRule type="cellIs" dxfId="104" priority="10" operator="greaterThan">
      <formula>0</formula>
    </cfRule>
  </conditionalFormatting>
  <conditionalFormatting sqref="U25">
    <cfRule type="cellIs" dxfId="103" priority="6" operator="greaterThan">
      <formula>0</formula>
    </cfRule>
    <cfRule type="cellIs" dxfId="102" priority="7" operator="greaterThan">
      <formula>0</formula>
    </cfRule>
    <cfRule type="cellIs" dxfId="101" priority="9" operator="greaterThan">
      <formula>0</formula>
    </cfRule>
  </conditionalFormatting>
  <conditionalFormatting sqref="U25">
    <cfRule type="cellIs" dxfId="100" priority="8" operator="greaterThan">
      <formula>0</formula>
    </cfRule>
  </conditionalFormatting>
  <conditionalFormatting sqref="U30">
    <cfRule type="cellIs" dxfId="99" priority="5" operator="greaterThan">
      <formula>0</formula>
    </cfRule>
  </conditionalFormatting>
  <conditionalFormatting sqref="U30">
    <cfRule type="cellIs" dxfId="98" priority="1" operator="greaterThan">
      <formula>0</formula>
    </cfRule>
    <cfRule type="cellIs" dxfId="97" priority="2" operator="greaterThan">
      <formula>0</formula>
    </cfRule>
    <cfRule type="cellIs" dxfId="96" priority="4" operator="greaterThan">
      <formula>0</formula>
    </cfRule>
  </conditionalFormatting>
  <conditionalFormatting sqref="U30">
    <cfRule type="cellIs" dxfId="95" priority="3" operator="greaterThan">
      <formula>0</formula>
    </cfRule>
  </conditionalFormatting>
  <dataValidations count="2">
    <dataValidation type="list" allowBlank="1" showInputMessage="1" showErrorMessage="1" sqref="S20:S24 S5:S10 S15 S29" xr:uid="{00000000-0002-0000-0200-000000000000}">
      <formula1>"מאשר, מאשר חלקי, לא מאשר"</formula1>
    </dataValidation>
    <dataValidation type="list" allowBlank="1" showInputMessage="1" showErrorMessage="1" sqref="K29 K15 K20:K24 K5:K10" xr:uid="{00000000-0002-0000-0200-000001000000}">
      <formula1>"שמיש-אך נדרש עוד, בלוי-נדרש להחליף"</formula1>
    </dataValidation>
  </dataValidations>
  <pageMargins left="0.70866141732283472" right="0.70866141732283472" top="0.74803149606299213" bottom="0.74803149606299213" header="0.31496062992125984" footer="0.31496062992125984"/>
  <pageSetup paperSize="9" scale="46" orientation="landscape" r:id="rId1"/>
  <ignoredErrors>
    <ignoredError sqref="S17:W17 T28 P16 T30 S16:T16 V16:W16 T19:W19 T18:W1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65"/>
  <sheetViews>
    <sheetView rightToLeft="1" zoomScaleNormal="100" workbookViewId="0"/>
  </sheetViews>
  <sheetFormatPr defaultColWidth="9" defaultRowHeight="13.8" x14ac:dyDescent="0.25"/>
  <cols>
    <col min="1" max="1" width="2.69921875" style="47" customWidth="1"/>
    <col min="2" max="2" width="15.3984375" style="47" customWidth="1"/>
    <col min="3" max="3" width="40.59765625" style="161" customWidth="1"/>
    <col min="4" max="4" width="8.09765625" style="47" customWidth="1"/>
    <col min="5" max="5" width="7.5" style="55" customWidth="1"/>
    <col min="6" max="6" width="11" style="189" customWidth="1"/>
    <col min="7" max="7" width="11.09765625" style="162" customWidth="1"/>
    <col min="8" max="8" width="2.19921875" style="47" customWidth="1"/>
    <col min="9" max="9" width="7.59765625" style="47" customWidth="1"/>
    <col min="10" max="10" width="17.19921875" style="47" customWidth="1"/>
    <col min="11" max="11" width="20.59765625" style="47" customWidth="1"/>
    <col min="12" max="12" width="2.19921875" style="47" customWidth="1"/>
    <col min="13" max="14" width="7.59765625" style="47" customWidth="1"/>
    <col min="15" max="15" width="12.59765625" style="170" customWidth="1"/>
    <col min="16" max="16" width="20.59765625" style="47" customWidth="1"/>
    <col min="17" max="17" width="2" style="47" customWidth="1"/>
    <col min="18" max="18" width="9" style="47" customWidth="1"/>
    <col min="19" max="19" width="7.59765625" style="45" customWidth="1"/>
    <col min="20" max="20" width="7.59765625" style="47" customWidth="1"/>
    <col min="21" max="21" width="12.59765625" style="162" customWidth="1"/>
    <col min="22" max="22" width="20.59765625" style="47" customWidth="1"/>
    <col min="23" max="23" width="5" style="47" customWidth="1"/>
    <col min="24" max="16384" width="9" style="47"/>
  </cols>
  <sheetData>
    <row r="1" spans="2:22" x14ac:dyDescent="0.25">
      <c r="B1" s="40" t="str">
        <f>'הסבר תקן'!C10</f>
        <v xml:space="preserve">תקן הצטיידות למסגרות תעסוקה מוגנת   - ינואר 2024 </v>
      </c>
      <c r="C1" s="156" t="str">
        <f>'הסבר תקן'!C10</f>
        <v xml:space="preserve">תקן הצטיידות למסגרות תעסוקה מוגנת   - ינואר 2024 </v>
      </c>
      <c r="F1" s="154" t="str">
        <f>'שאלון למילוי הגוף-חובה'!$C$24</f>
        <v>כמות מקבלי השירות המתוכננת במסגרת:</v>
      </c>
      <c r="G1" s="157">
        <f>'שאלון למילוי הגוף-חובה'!$D$24</f>
        <v>0</v>
      </c>
      <c r="I1" s="159" t="str">
        <f>'ריהוט, אחסנה, חצר והצללה'!J1</f>
        <v>יש למלא את התאים בצבע ורוד בלבד</v>
      </c>
      <c r="J1" s="159"/>
      <c r="K1" s="159"/>
      <c r="L1" s="75"/>
      <c r="M1" s="159" t="str">
        <f>I1</f>
        <v>יש למלא את התאים בצבע ורוד בלבד</v>
      </c>
      <c r="N1" s="160"/>
      <c r="O1" s="160"/>
      <c r="P1" s="159"/>
    </row>
    <row r="2" spans="2:22" x14ac:dyDescent="0.25">
      <c r="B2" s="161" t="s">
        <v>95</v>
      </c>
      <c r="F2" s="55"/>
      <c r="G2" s="47"/>
    </row>
    <row r="3" spans="2:22" x14ac:dyDescent="0.25">
      <c r="B3" s="217" t="s">
        <v>86</v>
      </c>
      <c r="C3" s="163"/>
      <c r="D3" s="163"/>
      <c r="E3" s="163"/>
      <c r="F3" s="163"/>
      <c r="G3" s="164"/>
      <c r="I3" s="69" t="s">
        <v>104</v>
      </c>
      <c r="J3" s="163"/>
      <c r="K3" s="164"/>
      <c r="M3" s="69" t="s">
        <v>10</v>
      </c>
      <c r="N3" s="163"/>
      <c r="O3" s="163"/>
      <c r="P3" s="164"/>
      <c r="R3" s="69" t="s">
        <v>204</v>
      </c>
      <c r="S3" s="49"/>
      <c r="T3" s="163"/>
      <c r="U3" s="163"/>
      <c r="V3" s="164"/>
    </row>
    <row r="4" spans="2:22" s="55" customFormat="1" ht="41.4" x14ac:dyDescent="0.25">
      <c r="B4" s="71" t="s">
        <v>17</v>
      </c>
      <c r="C4" s="71" t="s">
        <v>18</v>
      </c>
      <c r="D4" s="71" t="s">
        <v>19</v>
      </c>
      <c r="E4" s="71" t="s">
        <v>16</v>
      </c>
      <c r="F4" s="72" t="s">
        <v>64</v>
      </c>
      <c r="G4" s="72" t="s">
        <v>40</v>
      </c>
      <c r="I4" s="71" t="s">
        <v>103</v>
      </c>
      <c r="J4" s="71" t="s">
        <v>105</v>
      </c>
      <c r="K4" s="71" t="s">
        <v>2</v>
      </c>
      <c r="L4" s="47"/>
      <c r="M4" s="71" t="s">
        <v>1</v>
      </c>
      <c r="N4" s="71" t="s">
        <v>3</v>
      </c>
      <c r="O4" s="73" t="s">
        <v>132</v>
      </c>
      <c r="P4" s="71" t="s">
        <v>2</v>
      </c>
      <c r="Q4" s="47"/>
      <c r="R4" s="71" t="s">
        <v>205</v>
      </c>
      <c r="S4" s="71" t="s">
        <v>11</v>
      </c>
      <c r="T4" s="71" t="s">
        <v>3</v>
      </c>
      <c r="U4" s="74" t="s">
        <v>108</v>
      </c>
      <c r="V4" s="71" t="s">
        <v>2</v>
      </c>
    </row>
    <row r="5" spans="2:22" x14ac:dyDescent="0.25">
      <c r="B5" s="226" t="s">
        <v>27</v>
      </c>
      <c r="C5" s="89" t="s">
        <v>123</v>
      </c>
      <c r="D5" s="90" t="s">
        <v>25</v>
      </c>
      <c r="E5" s="171">
        <v>1</v>
      </c>
      <c r="F5" s="87">
        <v>140000</v>
      </c>
      <c r="G5" s="91">
        <f>F5*E5</f>
        <v>140000</v>
      </c>
      <c r="I5" s="83"/>
      <c r="J5" s="84"/>
      <c r="K5" s="222"/>
      <c r="M5" s="83"/>
      <c r="N5" s="86" t="str">
        <f>IFERROR(IF(M5=0,"",IF(OR(M5-E5&gt;0,M5-E5&lt;0), (M5-E5)/E5, "")), "")</f>
        <v/>
      </c>
      <c r="O5" s="172">
        <f>M5*F5</f>
        <v>0</v>
      </c>
      <c r="P5" s="83" t="str">
        <f>IF(M5&gt;E5,"נא להסביר חריגה כאן","")</f>
        <v/>
      </c>
      <c r="R5" s="1"/>
      <c r="S5" s="38" t="str">
        <f t="shared" ref="S5:S9" si="0">IF(ISBLANK(R5),"",IF(R5="מאשר",M5,""))</f>
        <v/>
      </c>
      <c r="T5" s="86" t="str">
        <f t="shared" ref="T5:T9" si="1">IFERROR(IF(S5=0,"",IF(OR(S5-E5&gt;0,S5-E5&lt;0), (S5-E5)/E5, "")), "")</f>
        <v/>
      </c>
      <c r="U5" s="91" t="str">
        <f t="shared" ref="U5:U9" si="2">IFERROR(IF(S5="","",S5*F5),"")</f>
        <v/>
      </c>
      <c r="V5" s="1"/>
    </row>
    <row r="6" spans="2:22" ht="27.6" x14ac:dyDescent="0.25">
      <c r="B6" s="227"/>
      <c r="C6" s="88" t="s">
        <v>124</v>
      </c>
      <c r="D6" s="90" t="s">
        <v>25</v>
      </c>
      <c r="E6" s="171">
        <v>2</v>
      </c>
      <c r="F6" s="87">
        <v>1500</v>
      </c>
      <c r="G6" s="91">
        <f>F6*E6</f>
        <v>3000</v>
      </c>
      <c r="I6" s="83"/>
      <c r="J6" s="84"/>
      <c r="K6" s="222"/>
      <c r="M6" s="83"/>
      <c r="N6" s="86" t="str">
        <f t="shared" ref="N6:N9" si="3">IFERROR(IF(M6=0,"",IF(OR(M6-E6&gt;0,M6-E6&lt;0), (M6-E6)/E6, "")), "")</f>
        <v/>
      </c>
      <c r="O6" s="172">
        <f t="shared" ref="O6:O9" si="4">M6*F6</f>
        <v>0</v>
      </c>
      <c r="P6" s="83" t="str">
        <f t="shared" ref="P6:P9" si="5">IF(M6&gt;E6,"נא להסביר חריגה כאן","")</f>
        <v/>
      </c>
      <c r="R6" s="1"/>
      <c r="S6" s="38" t="str">
        <f t="shared" si="0"/>
        <v/>
      </c>
      <c r="T6" s="86" t="str">
        <f t="shared" si="1"/>
        <v/>
      </c>
      <c r="U6" s="91" t="str">
        <f t="shared" si="2"/>
        <v/>
      </c>
      <c r="V6" s="1"/>
    </row>
    <row r="7" spans="2:22" ht="27.6" x14ac:dyDescent="0.25">
      <c r="B7" s="227"/>
      <c r="C7" s="88" t="s">
        <v>125</v>
      </c>
      <c r="D7" s="90" t="s">
        <v>25</v>
      </c>
      <c r="E7" s="171">
        <v>1</v>
      </c>
      <c r="F7" s="87">
        <v>30000</v>
      </c>
      <c r="G7" s="91">
        <f>F7*E7</f>
        <v>30000</v>
      </c>
      <c r="I7" s="83"/>
      <c r="J7" s="84"/>
      <c r="K7" s="222"/>
      <c r="M7" s="83"/>
      <c r="N7" s="86" t="str">
        <f t="shared" si="3"/>
        <v/>
      </c>
      <c r="O7" s="172">
        <f t="shared" si="4"/>
        <v>0</v>
      </c>
      <c r="P7" s="83" t="str">
        <f t="shared" si="5"/>
        <v/>
      </c>
      <c r="R7" s="1"/>
      <c r="S7" s="38" t="str">
        <f t="shared" si="0"/>
        <v/>
      </c>
      <c r="T7" s="86" t="str">
        <f t="shared" si="1"/>
        <v/>
      </c>
      <c r="U7" s="91" t="str">
        <f t="shared" si="2"/>
        <v/>
      </c>
      <c r="V7" s="1"/>
    </row>
    <row r="8" spans="2:22" x14ac:dyDescent="0.25">
      <c r="B8" s="227"/>
      <c r="C8" s="88" t="s">
        <v>126</v>
      </c>
      <c r="D8" s="90" t="s">
        <v>25</v>
      </c>
      <c r="E8" s="171">
        <v>2</v>
      </c>
      <c r="F8" s="87">
        <v>1500</v>
      </c>
      <c r="G8" s="91">
        <f>F8*E8</f>
        <v>3000</v>
      </c>
      <c r="I8" s="83"/>
      <c r="J8" s="84"/>
      <c r="K8" s="222"/>
      <c r="M8" s="83"/>
      <c r="N8" s="86" t="str">
        <f t="shared" si="3"/>
        <v/>
      </c>
      <c r="O8" s="172">
        <f t="shared" si="4"/>
        <v>0</v>
      </c>
      <c r="P8" s="83" t="str">
        <f t="shared" si="5"/>
        <v/>
      </c>
      <c r="R8" s="1"/>
      <c r="S8" s="38" t="str">
        <f t="shared" si="0"/>
        <v/>
      </c>
      <c r="T8" s="86" t="str">
        <f t="shared" si="1"/>
        <v/>
      </c>
      <c r="U8" s="91" t="str">
        <f t="shared" si="2"/>
        <v/>
      </c>
      <c r="V8" s="1"/>
    </row>
    <row r="9" spans="2:22" x14ac:dyDescent="0.25">
      <c r="B9" s="228"/>
      <c r="C9" s="88" t="s">
        <v>167</v>
      </c>
      <c r="D9" s="90" t="s">
        <v>25</v>
      </c>
      <c r="E9" s="171">
        <v>5</v>
      </c>
      <c r="F9" s="87">
        <v>1000</v>
      </c>
      <c r="G9" s="91">
        <f>F9*E9</f>
        <v>5000</v>
      </c>
      <c r="I9" s="83"/>
      <c r="J9" s="84"/>
      <c r="K9" s="222"/>
      <c r="M9" s="83"/>
      <c r="N9" s="86" t="str">
        <f t="shared" si="3"/>
        <v/>
      </c>
      <c r="O9" s="172">
        <f t="shared" si="4"/>
        <v>0</v>
      </c>
      <c r="P9" s="83" t="str">
        <f t="shared" si="5"/>
        <v/>
      </c>
      <c r="R9" s="1"/>
      <c r="S9" s="38" t="str">
        <f t="shared" si="0"/>
        <v/>
      </c>
      <c r="T9" s="86" t="str">
        <f t="shared" si="1"/>
        <v/>
      </c>
      <c r="U9" s="91" t="str">
        <f t="shared" si="2"/>
        <v/>
      </c>
      <c r="V9" s="1"/>
    </row>
    <row r="10" spans="2:22" x14ac:dyDescent="0.25">
      <c r="B10" s="69" t="s">
        <v>4</v>
      </c>
      <c r="C10" s="163"/>
      <c r="D10" s="163"/>
      <c r="E10" s="163"/>
      <c r="F10" s="163"/>
      <c r="G10" s="91">
        <f>SUM(G5:G9)</f>
        <v>181000</v>
      </c>
      <c r="I10" s="173"/>
      <c r="J10" s="174"/>
      <c r="K10" s="175"/>
      <c r="M10" s="90"/>
      <c r="N10" s="86">
        <f>IF(G10=0,"",O10/G10-1)</f>
        <v>-1</v>
      </c>
      <c r="O10" s="176">
        <f>SUM(O5:O9)</f>
        <v>0</v>
      </c>
      <c r="P10" s="90"/>
      <c r="R10" s="90"/>
      <c r="S10" s="177"/>
      <c r="T10" s="86">
        <f>IF(G10=0,"",U10/G10-1)</f>
        <v>-1</v>
      </c>
      <c r="U10" s="178">
        <f>SUM(U5:U9)</f>
        <v>0</v>
      </c>
      <c r="V10" s="90"/>
    </row>
    <row r="12" spans="2:22" x14ac:dyDescent="0.25">
      <c r="B12" s="217" t="s">
        <v>91</v>
      </c>
      <c r="C12" s="163"/>
      <c r="D12" s="163"/>
      <c r="E12" s="163"/>
      <c r="F12" s="163"/>
      <c r="G12" s="164"/>
      <c r="I12" s="69" t="s">
        <v>104</v>
      </c>
      <c r="J12" s="163"/>
      <c r="K12" s="164"/>
      <c r="M12" s="69" t="s">
        <v>10</v>
      </c>
      <c r="N12" s="163"/>
      <c r="O12" s="163"/>
      <c r="P12" s="164"/>
      <c r="R12" s="69" t="s">
        <v>204</v>
      </c>
      <c r="S12" s="49"/>
      <c r="T12" s="163"/>
      <c r="U12" s="163"/>
      <c r="V12" s="164"/>
    </row>
    <row r="13" spans="2:22" s="55" customFormat="1" ht="41.4" x14ac:dyDescent="0.25">
      <c r="B13" s="71" t="s">
        <v>17</v>
      </c>
      <c r="C13" s="71" t="s">
        <v>18</v>
      </c>
      <c r="D13" s="71" t="s">
        <v>19</v>
      </c>
      <c r="E13" s="71" t="s">
        <v>16</v>
      </c>
      <c r="F13" s="72" t="s">
        <v>64</v>
      </c>
      <c r="G13" s="72" t="s">
        <v>40</v>
      </c>
      <c r="I13" s="71" t="s">
        <v>103</v>
      </c>
      <c r="J13" s="71" t="s">
        <v>105</v>
      </c>
      <c r="K13" s="71" t="s">
        <v>2</v>
      </c>
      <c r="L13" s="47"/>
      <c r="M13" s="71" t="s">
        <v>1</v>
      </c>
      <c r="N13" s="71" t="s">
        <v>3</v>
      </c>
      <c r="O13" s="73" t="s">
        <v>132</v>
      </c>
      <c r="P13" s="71" t="s">
        <v>2</v>
      </c>
      <c r="Q13" s="47"/>
      <c r="R13" s="71" t="s">
        <v>205</v>
      </c>
      <c r="S13" s="71" t="s">
        <v>11</v>
      </c>
      <c r="T13" s="71" t="s">
        <v>3</v>
      </c>
      <c r="U13" s="74" t="s">
        <v>108</v>
      </c>
      <c r="V13" s="71" t="s">
        <v>2</v>
      </c>
    </row>
    <row r="14" spans="2:22" x14ac:dyDescent="0.25">
      <c r="B14" s="226" t="s">
        <v>32</v>
      </c>
      <c r="C14" s="88" t="s">
        <v>128</v>
      </c>
      <c r="D14" s="90" t="s">
        <v>25</v>
      </c>
      <c r="E14" s="171">
        <v>3</v>
      </c>
      <c r="F14" s="87">
        <v>900</v>
      </c>
      <c r="G14" s="91">
        <f>F14*E14</f>
        <v>2700</v>
      </c>
      <c r="I14" s="83"/>
      <c r="J14" s="84"/>
      <c r="K14" s="84"/>
      <c r="M14" s="83"/>
      <c r="N14" s="86" t="str">
        <f>IFERROR(IF(M14=0,"",IF(OR(M14-E14&gt;0,M14-E14&lt;0), (M14-E14)/E14, "")), "")</f>
        <v/>
      </c>
      <c r="O14" s="172">
        <f>M14*F14</f>
        <v>0</v>
      </c>
      <c r="P14" s="83" t="str">
        <f>IF(M14&gt;E14,"נא להסביר חריגה כאן","")</f>
        <v/>
      </c>
      <c r="R14" s="1"/>
      <c r="S14" s="2" t="str">
        <f t="shared" ref="S14:S19" si="6">IF(ISBLANK(R14),"",IF(R14="מאשר",M14,""))</f>
        <v/>
      </c>
      <c r="T14" s="86" t="str">
        <f t="shared" ref="T14:T19" si="7">IFERROR(IF(S14=0,"",IF(OR(S14-E14&gt;0,S14-E14&lt;0), (S14-E14)/E14, "")), "")</f>
        <v/>
      </c>
      <c r="U14" s="91" t="str">
        <f t="shared" ref="U14:U19" si="8">IFERROR(IF(S14="","",S14*F14),"")</f>
        <v/>
      </c>
      <c r="V14" s="1"/>
    </row>
    <row r="15" spans="2:22" x14ac:dyDescent="0.25">
      <c r="B15" s="227"/>
      <c r="C15" s="88" t="s">
        <v>33</v>
      </c>
      <c r="D15" s="90" t="s">
        <v>25</v>
      </c>
      <c r="E15" s="171">
        <v>2</v>
      </c>
      <c r="F15" s="87">
        <v>1500</v>
      </c>
      <c r="G15" s="91">
        <f t="shared" ref="G15:G19" si="9">F15*E15</f>
        <v>3000</v>
      </c>
      <c r="I15" s="83"/>
      <c r="J15" s="84"/>
      <c r="K15" s="84"/>
      <c r="M15" s="83"/>
      <c r="N15" s="86" t="str">
        <f t="shared" ref="N15:N19" si="10">IFERROR(IF(M15=0,"",IF(OR(M15-E15&gt;0,M15-E15&lt;0), (M15-E15)/E15, "")), "")</f>
        <v/>
      </c>
      <c r="O15" s="172">
        <f t="shared" ref="O15:O19" si="11">M15*F15</f>
        <v>0</v>
      </c>
      <c r="P15" s="83" t="str">
        <f t="shared" ref="P15:P19" si="12">IF(M15&gt;E15,"נא להסביר חריגה כאן","")</f>
        <v/>
      </c>
      <c r="R15" s="1"/>
      <c r="S15" s="2" t="str">
        <f t="shared" si="6"/>
        <v/>
      </c>
      <c r="T15" s="86" t="str">
        <f t="shared" si="7"/>
        <v/>
      </c>
      <c r="U15" s="91" t="str">
        <f t="shared" si="8"/>
        <v/>
      </c>
      <c r="V15" s="1"/>
    </row>
    <row r="16" spans="2:22" x14ac:dyDescent="0.25">
      <c r="B16" s="227"/>
      <c r="C16" s="88" t="s">
        <v>34</v>
      </c>
      <c r="D16" s="90" t="s">
        <v>25</v>
      </c>
      <c r="E16" s="171">
        <v>2</v>
      </c>
      <c r="F16" s="87">
        <v>1500</v>
      </c>
      <c r="G16" s="91">
        <f>F16*E16</f>
        <v>3000</v>
      </c>
      <c r="I16" s="83"/>
      <c r="J16" s="84"/>
      <c r="K16" s="84"/>
      <c r="M16" s="83"/>
      <c r="N16" s="86" t="str">
        <f t="shared" si="10"/>
        <v/>
      </c>
      <c r="O16" s="172">
        <f t="shared" si="11"/>
        <v>0</v>
      </c>
      <c r="P16" s="83" t="str">
        <f t="shared" si="12"/>
        <v/>
      </c>
      <c r="R16" s="1"/>
      <c r="S16" s="2" t="str">
        <f t="shared" si="6"/>
        <v/>
      </c>
      <c r="T16" s="86" t="str">
        <f t="shared" si="7"/>
        <v/>
      </c>
      <c r="U16" s="91" t="str">
        <f t="shared" si="8"/>
        <v/>
      </c>
      <c r="V16" s="1"/>
    </row>
    <row r="17" spans="2:22" x14ac:dyDescent="0.25">
      <c r="B17" s="227"/>
      <c r="C17" s="88" t="s">
        <v>35</v>
      </c>
      <c r="D17" s="90" t="s">
        <v>25</v>
      </c>
      <c r="E17" s="171">
        <v>2</v>
      </c>
      <c r="F17" s="87">
        <v>20000</v>
      </c>
      <c r="G17" s="91">
        <f>F17*E17</f>
        <v>40000</v>
      </c>
      <c r="I17" s="83"/>
      <c r="J17" s="84"/>
      <c r="K17" s="84"/>
      <c r="M17" s="83"/>
      <c r="N17" s="86" t="str">
        <f t="shared" si="10"/>
        <v/>
      </c>
      <c r="O17" s="172">
        <f t="shared" si="11"/>
        <v>0</v>
      </c>
      <c r="P17" s="83" t="str">
        <f t="shared" si="12"/>
        <v/>
      </c>
      <c r="R17" s="1"/>
      <c r="S17" s="2" t="str">
        <f t="shared" si="6"/>
        <v/>
      </c>
      <c r="T17" s="86" t="str">
        <f t="shared" si="7"/>
        <v/>
      </c>
      <c r="U17" s="91" t="str">
        <f t="shared" si="8"/>
        <v/>
      </c>
      <c r="V17" s="1"/>
    </row>
    <row r="18" spans="2:22" x14ac:dyDescent="0.25">
      <c r="B18" s="227"/>
      <c r="C18" s="88" t="s">
        <v>36</v>
      </c>
      <c r="D18" s="90" t="s">
        <v>25</v>
      </c>
      <c r="E18" s="171">
        <v>3</v>
      </c>
      <c r="F18" s="87">
        <v>1500</v>
      </c>
      <c r="G18" s="91">
        <f t="shared" si="9"/>
        <v>4500</v>
      </c>
      <c r="I18" s="83"/>
      <c r="J18" s="84"/>
      <c r="K18" s="84"/>
      <c r="M18" s="83"/>
      <c r="N18" s="86" t="str">
        <f t="shared" si="10"/>
        <v/>
      </c>
      <c r="O18" s="172">
        <f t="shared" si="11"/>
        <v>0</v>
      </c>
      <c r="P18" s="83" t="str">
        <f t="shared" si="12"/>
        <v/>
      </c>
      <c r="R18" s="1"/>
      <c r="S18" s="2" t="str">
        <f t="shared" si="6"/>
        <v/>
      </c>
      <c r="T18" s="86" t="str">
        <f t="shared" si="7"/>
        <v/>
      </c>
      <c r="U18" s="91" t="str">
        <f t="shared" si="8"/>
        <v/>
      </c>
      <c r="V18" s="1"/>
    </row>
    <row r="19" spans="2:22" x14ac:dyDescent="0.25">
      <c r="B19" s="228"/>
      <c r="C19" s="88" t="s">
        <v>37</v>
      </c>
      <c r="D19" s="90" t="s">
        <v>25</v>
      </c>
      <c r="E19" s="171">
        <v>1</v>
      </c>
      <c r="F19" s="87">
        <v>20000</v>
      </c>
      <c r="G19" s="91">
        <f t="shared" si="9"/>
        <v>20000</v>
      </c>
      <c r="I19" s="83"/>
      <c r="J19" s="84"/>
      <c r="K19" s="84"/>
      <c r="M19" s="83"/>
      <c r="N19" s="86" t="str">
        <f t="shared" si="10"/>
        <v/>
      </c>
      <c r="O19" s="172">
        <f t="shared" si="11"/>
        <v>0</v>
      </c>
      <c r="P19" s="83" t="str">
        <f t="shared" si="12"/>
        <v/>
      </c>
      <c r="R19" s="1"/>
      <c r="S19" s="2" t="str">
        <f t="shared" si="6"/>
        <v/>
      </c>
      <c r="T19" s="86" t="str">
        <f t="shared" si="7"/>
        <v/>
      </c>
      <c r="U19" s="91" t="str">
        <f t="shared" si="8"/>
        <v/>
      </c>
      <c r="V19" s="1"/>
    </row>
    <row r="20" spans="2:22" x14ac:dyDescent="0.25">
      <c r="B20" s="69" t="s">
        <v>4</v>
      </c>
      <c r="C20" s="163"/>
      <c r="D20" s="163"/>
      <c r="E20" s="163"/>
      <c r="F20" s="163"/>
      <c r="G20" s="91">
        <f>SUM(G14:G19)</f>
        <v>73200</v>
      </c>
      <c r="I20" s="173"/>
      <c r="J20" s="174"/>
      <c r="K20" s="175"/>
      <c r="M20" s="90"/>
      <c r="N20" s="86">
        <f>IF(G20=0,"",O20/G20-1)</f>
        <v>-1</v>
      </c>
      <c r="O20" s="176">
        <f>SUM(O14:O19)</f>
        <v>0</v>
      </c>
      <c r="P20" s="90"/>
      <c r="R20" s="90"/>
      <c r="S20" s="177"/>
      <c r="T20" s="86">
        <f>IF(G20=0,"",U20/G20-1)</f>
        <v>-1</v>
      </c>
      <c r="U20" s="178">
        <f>SUM(U14:U19)</f>
        <v>0</v>
      </c>
      <c r="V20" s="90"/>
    </row>
    <row r="21" spans="2:22" ht="15" x14ac:dyDescent="0.25">
      <c r="C21" s="47"/>
      <c r="F21" s="55"/>
      <c r="G21" s="47"/>
      <c r="O21" s="47"/>
      <c r="S21" s="47"/>
      <c r="U21" s="47"/>
    </row>
    <row r="22" spans="2:22" x14ac:dyDescent="0.25">
      <c r="B22" s="217" t="s">
        <v>92</v>
      </c>
      <c r="C22" s="71" t="s">
        <v>18</v>
      </c>
      <c r="D22" s="163"/>
      <c r="E22" s="163"/>
      <c r="F22" s="163"/>
      <c r="G22" s="164"/>
      <c r="I22" s="69" t="s">
        <v>104</v>
      </c>
      <c r="J22" s="163"/>
      <c r="K22" s="164"/>
      <c r="M22" s="69" t="s">
        <v>10</v>
      </c>
      <c r="N22" s="163"/>
      <c r="O22" s="163"/>
      <c r="P22" s="164"/>
      <c r="R22" s="69" t="s">
        <v>204</v>
      </c>
      <c r="S22" s="49"/>
      <c r="T22" s="163"/>
      <c r="U22" s="163"/>
      <c r="V22" s="164"/>
    </row>
    <row r="23" spans="2:22" s="55" customFormat="1" ht="41.4" x14ac:dyDescent="0.25">
      <c r="B23" s="71" t="s">
        <v>17</v>
      </c>
      <c r="C23" s="140" t="s">
        <v>212</v>
      </c>
      <c r="D23" s="71" t="s">
        <v>19</v>
      </c>
      <c r="E23" s="71" t="s">
        <v>16</v>
      </c>
      <c r="F23" s="72" t="s">
        <v>64</v>
      </c>
      <c r="G23" s="72" t="s">
        <v>40</v>
      </c>
      <c r="I23" s="71" t="s">
        <v>103</v>
      </c>
      <c r="J23" s="71" t="s">
        <v>105</v>
      </c>
      <c r="K23" s="71" t="s">
        <v>2</v>
      </c>
      <c r="L23" s="47"/>
      <c r="M23" s="71" t="s">
        <v>1</v>
      </c>
      <c r="N23" s="71" t="s">
        <v>3</v>
      </c>
      <c r="O23" s="73" t="s">
        <v>132</v>
      </c>
      <c r="P23" s="71" t="s">
        <v>2</v>
      </c>
      <c r="Q23" s="47"/>
      <c r="R23" s="71" t="s">
        <v>205</v>
      </c>
      <c r="S23" s="71" t="s">
        <v>11</v>
      </c>
      <c r="T23" s="71" t="s">
        <v>3</v>
      </c>
      <c r="U23" s="74" t="s">
        <v>108</v>
      </c>
      <c r="V23" s="71" t="s">
        <v>2</v>
      </c>
    </row>
    <row r="24" spans="2:22" x14ac:dyDescent="0.25">
      <c r="B24" s="226" t="s">
        <v>42</v>
      </c>
      <c r="C24" s="88" t="s">
        <v>195</v>
      </c>
      <c r="D24" s="90" t="s">
        <v>25</v>
      </c>
      <c r="E24" s="171">
        <v>1</v>
      </c>
      <c r="F24" s="179">
        <f>IF('שאלון למילוי הגוף-חובה'!$D$24&lt;31,10000,IF('שאלון למילוי הגוף-חובה'!$D$24&lt;61,15000,25000))</f>
        <v>10000</v>
      </c>
      <c r="G24" s="91">
        <f t="shared" ref="G24:G31" si="13">F24*E24</f>
        <v>10000</v>
      </c>
      <c r="I24" s="83"/>
      <c r="J24" s="84"/>
      <c r="K24" s="84"/>
      <c r="M24" s="83"/>
      <c r="N24" s="86" t="str">
        <f t="shared" ref="N24:N31" si="14">IFERROR(IF(M24=0,"",IF(OR(M24-E24&gt;0,M24-E24&lt;0), (M24-E24)/E24, "")), "")</f>
        <v/>
      </c>
      <c r="O24" s="172">
        <f t="shared" ref="O24:O31" si="15">M24*F24</f>
        <v>0</v>
      </c>
      <c r="P24" s="83" t="str">
        <f t="shared" ref="P24:P31" si="16">IF(M24&gt;E24,"נא להסביר חריגה כאן","")</f>
        <v/>
      </c>
      <c r="R24" s="1"/>
      <c r="S24" s="2" t="str">
        <f t="shared" ref="S24:S31" si="17">IF(ISBLANK(R24),"",IF(R24="מאשר",M24,""))</f>
        <v/>
      </c>
      <c r="T24" s="86" t="str">
        <f t="shared" ref="T24:T31" si="18">IFERROR(IF(S24=0,"",IF(OR(S24-E24&gt;0,S24-E24&lt;0), (S24-E24)/E24, "")), "")</f>
        <v/>
      </c>
      <c r="U24" s="91" t="str">
        <f t="shared" ref="U24:U31" si="19">IFERROR(IF(S24="","",S24*F24),"")</f>
        <v/>
      </c>
      <c r="V24" s="1"/>
    </row>
    <row r="25" spans="2:22" x14ac:dyDescent="0.25">
      <c r="B25" s="227"/>
      <c r="C25" s="88" t="s">
        <v>127</v>
      </c>
      <c r="D25" s="90" t="s">
        <v>25</v>
      </c>
      <c r="E25" s="179">
        <f>IF('שאלון למילוי הגוף-חובה'!$D$24&lt;31,1,2)</f>
        <v>1</v>
      </c>
      <c r="F25" s="87">
        <v>3000</v>
      </c>
      <c r="G25" s="91">
        <f t="shared" si="13"/>
        <v>3000</v>
      </c>
      <c r="I25" s="83"/>
      <c r="J25" s="84"/>
      <c r="K25" s="84"/>
      <c r="M25" s="83"/>
      <c r="N25" s="86" t="str">
        <f t="shared" si="14"/>
        <v/>
      </c>
      <c r="O25" s="172">
        <f t="shared" si="15"/>
        <v>0</v>
      </c>
      <c r="P25" s="83" t="str">
        <f t="shared" si="16"/>
        <v/>
      </c>
      <c r="R25" s="1"/>
      <c r="S25" s="2" t="str">
        <f t="shared" si="17"/>
        <v/>
      </c>
      <c r="T25" s="86" t="str">
        <f t="shared" si="18"/>
        <v/>
      </c>
      <c r="U25" s="91" t="str">
        <f t="shared" si="19"/>
        <v/>
      </c>
      <c r="V25" s="1"/>
    </row>
    <row r="26" spans="2:22" x14ac:dyDescent="0.25">
      <c r="B26" s="227"/>
      <c r="C26" s="88" t="s">
        <v>184</v>
      </c>
      <c r="D26" s="90" t="s">
        <v>25</v>
      </c>
      <c r="E26" s="171">
        <v>1</v>
      </c>
      <c r="F26" s="179">
        <f>IF('שאלון למילוי הגוף-חובה'!$D$24&lt;31,2000,IF('שאלון למילוי הגוף-חובה'!$D$24&lt;61,2500,3500))</f>
        <v>2000</v>
      </c>
      <c r="G26" s="91">
        <f t="shared" si="13"/>
        <v>2000</v>
      </c>
      <c r="I26" s="83"/>
      <c r="J26" s="84"/>
      <c r="K26" s="84"/>
      <c r="M26" s="83"/>
      <c r="N26" s="86" t="str">
        <f t="shared" si="14"/>
        <v/>
      </c>
      <c r="O26" s="172">
        <f t="shared" si="15"/>
        <v>0</v>
      </c>
      <c r="P26" s="83" t="str">
        <f t="shared" si="16"/>
        <v/>
      </c>
      <c r="R26" s="1"/>
      <c r="S26" s="2" t="str">
        <f t="shared" si="17"/>
        <v/>
      </c>
      <c r="T26" s="86" t="str">
        <f t="shared" si="18"/>
        <v/>
      </c>
      <c r="U26" s="91" t="str">
        <f t="shared" si="19"/>
        <v/>
      </c>
      <c r="V26" s="1"/>
    </row>
    <row r="27" spans="2:22" x14ac:dyDescent="0.25">
      <c r="B27" s="227"/>
      <c r="C27" s="88" t="s">
        <v>44</v>
      </c>
      <c r="D27" s="90" t="s">
        <v>25</v>
      </c>
      <c r="E27" s="179">
        <f>IF('שאלון למילוי הגוף-חובה'!$D$24&lt;31,1,IF('שאלון למילוי הגוף-חובה'!$D$24&lt;61,2,3))</f>
        <v>1</v>
      </c>
      <c r="F27" s="87">
        <v>4000</v>
      </c>
      <c r="G27" s="91">
        <f t="shared" si="13"/>
        <v>4000</v>
      </c>
      <c r="I27" s="83"/>
      <c r="J27" s="84"/>
      <c r="K27" s="84"/>
      <c r="M27" s="83"/>
      <c r="N27" s="86" t="str">
        <f t="shared" si="14"/>
        <v/>
      </c>
      <c r="O27" s="172">
        <f t="shared" si="15"/>
        <v>0</v>
      </c>
      <c r="P27" s="83" t="str">
        <f t="shared" si="16"/>
        <v/>
      </c>
      <c r="R27" s="1"/>
      <c r="S27" s="2" t="str">
        <f t="shared" si="17"/>
        <v/>
      </c>
      <c r="T27" s="86" t="str">
        <f t="shared" si="18"/>
        <v/>
      </c>
      <c r="U27" s="91" t="str">
        <f t="shared" si="19"/>
        <v/>
      </c>
      <c r="V27" s="1"/>
    </row>
    <row r="28" spans="2:22" x14ac:dyDescent="0.25">
      <c r="B28" s="226" t="s">
        <v>43</v>
      </c>
      <c r="C28" s="88" t="s">
        <v>45</v>
      </c>
      <c r="D28" s="90" t="s">
        <v>25</v>
      </c>
      <c r="E28" s="179">
        <f>IF('שאלון למילוי הגוף-חובה'!$D$24&lt;31,1,2)</f>
        <v>1</v>
      </c>
      <c r="F28" s="87">
        <v>15000</v>
      </c>
      <c r="G28" s="91">
        <f t="shared" si="13"/>
        <v>15000</v>
      </c>
      <c r="I28" s="83"/>
      <c r="J28" s="84"/>
      <c r="K28" s="84"/>
      <c r="M28" s="83"/>
      <c r="N28" s="86" t="str">
        <f t="shared" si="14"/>
        <v/>
      </c>
      <c r="O28" s="172">
        <f t="shared" si="15"/>
        <v>0</v>
      </c>
      <c r="P28" s="83" t="str">
        <f t="shared" si="16"/>
        <v/>
      </c>
      <c r="R28" s="1"/>
      <c r="S28" s="2" t="str">
        <f t="shared" si="17"/>
        <v/>
      </c>
      <c r="T28" s="86" t="str">
        <f t="shared" si="18"/>
        <v/>
      </c>
      <c r="U28" s="91" t="str">
        <f t="shared" si="19"/>
        <v/>
      </c>
      <c r="V28" s="1"/>
    </row>
    <row r="29" spans="2:22" x14ac:dyDescent="0.25">
      <c r="B29" s="227"/>
      <c r="C29" s="89" t="s">
        <v>185</v>
      </c>
      <c r="D29" s="90" t="s">
        <v>25</v>
      </c>
      <c r="E29" s="171">
        <v>1</v>
      </c>
      <c r="F29" s="179">
        <f>IF('שאלון למילוי הגוף-חובה'!$D$24&lt;31,12000,IF('שאלון למילוי הגוף-חובה'!$D$24&lt;61,18000,30000))</f>
        <v>12000</v>
      </c>
      <c r="G29" s="91">
        <f t="shared" si="13"/>
        <v>12000</v>
      </c>
      <c r="I29" s="83"/>
      <c r="J29" s="84"/>
      <c r="K29" s="84"/>
      <c r="M29" s="83"/>
      <c r="N29" s="86" t="str">
        <f t="shared" si="14"/>
        <v/>
      </c>
      <c r="O29" s="172">
        <f t="shared" si="15"/>
        <v>0</v>
      </c>
      <c r="P29" s="83" t="str">
        <f t="shared" si="16"/>
        <v/>
      </c>
      <c r="R29" s="1"/>
      <c r="S29" s="2" t="str">
        <f t="shared" si="17"/>
        <v/>
      </c>
      <c r="T29" s="86" t="str">
        <f t="shared" si="18"/>
        <v/>
      </c>
      <c r="U29" s="91" t="str">
        <f t="shared" si="19"/>
        <v/>
      </c>
      <c r="V29" s="1"/>
    </row>
    <row r="30" spans="2:22" x14ac:dyDescent="0.25">
      <c r="B30" s="227"/>
      <c r="C30" s="89" t="s">
        <v>121</v>
      </c>
      <c r="D30" s="90" t="s">
        <v>25</v>
      </c>
      <c r="E30" s="171">
        <v>1</v>
      </c>
      <c r="F30" s="179">
        <f>IF('שאלון למילוי הגוף-חובה'!$D$24&lt;31,5000,IF('שאלון למילוי הגוף-חובה'!$D$24&lt;61,8000,15000))</f>
        <v>5000</v>
      </c>
      <c r="G30" s="91">
        <f t="shared" si="13"/>
        <v>5000</v>
      </c>
      <c r="I30" s="83"/>
      <c r="J30" s="84"/>
      <c r="K30" s="84"/>
      <c r="M30" s="83"/>
      <c r="N30" s="86" t="str">
        <f t="shared" si="14"/>
        <v/>
      </c>
      <c r="O30" s="172">
        <f t="shared" si="15"/>
        <v>0</v>
      </c>
      <c r="P30" s="83" t="str">
        <f t="shared" si="16"/>
        <v/>
      </c>
      <c r="R30" s="1"/>
      <c r="S30" s="2" t="str">
        <f t="shared" si="17"/>
        <v/>
      </c>
      <c r="T30" s="86" t="str">
        <f t="shared" si="18"/>
        <v/>
      </c>
      <c r="U30" s="91" t="str">
        <f t="shared" si="19"/>
        <v/>
      </c>
      <c r="V30" s="1"/>
    </row>
    <row r="31" spans="2:22" x14ac:dyDescent="0.25">
      <c r="B31" s="228"/>
      <c r="C31" s="89" t="s">
        <v>168</v>
      </c>
      <c r="D31" s="90" t="s">
        <v>46</v>
      </c>
      <c r="E31" s="179">
        <f>'שאלון למילוי הגוף-חובה'!D24</f>
        <v>0</v>
      </c>
      <c r="F31" s="87">
        <v>400</v>
      </c>
      <c r="G31" s="91">
        <f t="shared" si="13"/>
        <v>0</v>
      </c>
      <c r="I31" s="83"/>
      <c r="J31" s="84"/>
      <c r="K31" s="84"/>
      <c r="M31" s="83"/>
      <c r="N31" s="86" t="str">
        <f t="shared" si="14"/>
        <v/>
      </c>
      <c r="O31" s="172">
        <f t="shared" si="15"/>
        <v>0</v>
      </c>
      <c r="P31" s="83" t="str">
        <f t="shared" si="16"/>
        <v/>
      </c>
      <c r="R31" s="1"/>
      <c r="S31" s="2" t="str">
        <f t="shared" si="17"/>
        <v/>
      </c>
      <c r="T31" s="86" t="str">
        <f t="shared" si="18"/>
        <v/>
      </c>
      <c r="U31" s="91" t="str">
        <f t="shared" si="19"/>
        <v/>
      </c>
      <c r="V31" s="1"/>
    </row>
    <row r="32" spans="2:22" x14ac:dyDescent="0.25">
      <c r="B32" s="69" t="s">
        <v>4</v>
      </c>
      <c r="C32" s="163"/>
      <c r="D32" s="163"/>
      <c r="E32" s="163"/>
      <c r="F32" s="163"/>
      <c r="G32" s="91">
        <f>SUM(G24:G31)</f>
        <v>51000</v>
      </c>
      <c r="I32" s="173"/>
      <c r="J32" s="174"/>
      <c r="K32" s="175"/>
      <c r="M32" s="90"/>
      <c r="N32" s="86">
        <f>IF(G32=0,"",O32/G32-1)</f>
        <v>-1</v>
      </c>
      <c r="O32" s="176">
        <f>SUM(O24:O31)</f>
        <v>0</v>
      </c>
      <c r="P32" s="90"/>
      <c r="R32" s="90"/>
      <c r="S32" s="177"/>
      <c r="T32" s="86">
        <f>IF(G32=0,"",U32/G32-1)</f>
        <v>-1</v>
      </c>
      <c r="U32" s="178">
        <f>SUM(U24:U31)</f>
        <v>0</v>
      </c>
      <c r="V32" s="90"/>
    </row>
    <row r="34" spans="2:22" x14ac:dyDescent="0.25">
      <c r="B34" s="217" t="s">
        <v>93</v>
      </c>
      <c r="C34" s="163"/>
      <c r="D34" s="163"/>
      <c r="E34" s="163"/>
      <c r="F34" s="163"/>
      <c r="G34" s="164"/>
      <c r="I34" s="69" t="s">
        <v>104</v>
      </c>
      <c r="J34" s="163"/>
      <c r="K34" s="164"/>
      <c r="M34" s="69" t="s">
        <v>10</v>
      </c>
      <c r="N34" s="163"/>
      <c r="O34" s="163"/>
      <c r="P34" s="164"/>
      <c r="R34" s="69" t="s">
        <v>204</v>
      </c>
      <c r="S34" s="49"/>
      <c r="T34" s="163"/>
      <c r="U34" s="163"/>
      <c r="V34" s="164"/>
    </row>
    <row r="35" spans="2:22" s="55" customFormat="1" ht="41.4" x14ac:dyDescent="0.25">
      <c r="B35" s="71" t="s">
        <v>17</v>
      </c>
      <c r="C35" s="140" t="str">
        <f>C23</f>
        <v xml:space="preserve">תיאור הציוד: הציוד להלן משתנה בחלקו לפי מספר מקבלי השירות במסגרת - עד 30, מ-31 עד 60, 61 ומעלה </v>
      </c>
      <c r="D35" s="71" t="s">
        <v>19</v>
      </c>
      <c r="E35" s="71" t="s">
        <v>16</v>
      </c>
      <c r="F35" s="72" t="s">
        <v>64</v>
      </c>
      <c r="G35" s="72" t="s">
        <v>40</v>
      </c>
      <c r="I35" s="71" t="s">
        <v>103</v>
      </c>
      <c r="J35" s="71" t="s">
        <v>105</v>
      </c>
      <c r="K35" s="71" t="s">
        <v>2</v>
      </c>
      <c r="L35" s="47"/>
      <c r="M35" s="71" t="s">
        <v>1</v>
      </c>
      <c r="N35" s="71" t="s">
        <v>3</v>
      </c>
      <c r="O35" s="73" t="s">
        <v>132</v>
      </c>
      <c r="P35" s="71" t="s">
        <v>2</v>
      </c>
      <c r="Q35" s="47"/>
      <c r="R35" s="71" t="s">
        <v>205</v>
      </c>
      <c r="S35" s="71" t="s">
        <v>11</v>
      </c>
      <c r="T35" s="71" t="s">
        <v>3</v>
      </c>
      <c r="U35" s="74" t="s">
        <v>108</v>
      </c>
      <c r="V35" s="71" t="s">
        <v>2</v>
      </c>
    </row>
    <row r="36" spans="2:22" x14ac:dyDescent="0.25">
      <c r="B36" s="168" t="s">
        <v>55</v>
      </c>
      <c r="C36" s="180" t="s">
        <v>213</v>
      </c>
      <c r="D36" s="168" t="s">
        <v>25</v>
      </c>
      <c r="E36" s="179">
        <f>IF('שאלון למילוי הגוף-חובה'!$D$24&lt;31,10,IF('שאלון למילוי הגוף-חובה'!$D$24&lt;61,15,25))</f>
        <v>10</v>
      </c>
      <c r="F36" s="82">
        <v>200</v>
      </c>
      <c r="G36" s="91">
        <f t="shared" ref="G36:G64" si="20">F36*E36</f>
        <v>2000</v>
      </c>
      <c r="I36" s="83"/>
      <c r="J36" s="84"/>
      <c r="K36" s="84"/>
      <c r="M36" s="83"/>
      <c r="N36" s="86" t="str">
        <f t="shared" ref="N36:N64" si="21">IFERROR(IF(M36=0,"",IF(OR(M36-E36&gt;0,M36-E36&lt;0), (M36-E36)/E36, "")), "")</f>
        <v/>
      </c>
      <c r="O36" s="172">
        <f t="shared" ref="O36:O64" si="22">M36*F36</f>
        <v>0</v>
      </c>
      <c r="P36" s="83" t="str">
        <f t="shared" ref="P36:P64" si="23">IF(M36&gt;E36,"נא להסביר חריגה כאן","")</f>
        <v/>
      </c>
      <c r="R36" s="1"/>
      <c r="S36" s="2" t="str">
        <f t="shared" ref="S36:S64" si="24">IF(ISBLANK(R36),"",IF(R36="מאשר",M36,""))</f>
        <v/>
      </c>
      <c r="T36" s="86" t="str">
        <f t="shared" ref="T36:T64" si="25">IFERROR(IF(S36=0,"",IF(OR(S36-E36&gt;0,S36-E36&lt;0), (S36-E36)/E36, "")), "")</f>
        <v/>
      </c>
      <c r="U36" s="91" t="str">
        <f t="shared" ref="U36:U64" si="26">IFERROR(IF(S36="","",S36*F36),"")</f>
        <v/>
      </c>
      <c r="V36" s="1"/>
    </row>
    <row r="37" spans="2:22" x14ac:dyDescent="0.25">
      <c r="B37" s="168" t="s">
        <v>56</v>
      </c>
      <c r="C37" s="180" t="s">
        <v>56</v>
      </c>
      <c r="D37" s="168" t="s">
        <v>25</v>
      </c>
      <c r="E37" s="171">
        <v>1</v>
      </c>
      <c r="F37" s="82">
        <v>8000</v>
      </c>
      <c r="G37" s="91">
        <f t="shared" si="20"/>
        <v>8000</v>
      </c>
      <c r="I37" s="83"/>
      <c r="J37" s="84"/>
      <c r="K37" s="84"/>
      <c r="M37" s="83"/>
      <c r="N37" s="86" t="str">
        <f t="shared" si="21"/>
        <v/>
      </c>
      <c r="O37" s="172">
        <f t="shared" si="22"/>
        <v>0</v>
      </c>
      <c r="P37" s="83" t="str">
        <f t="shared" si="23"/>
        <v/>
      </c>
      <c r="R37" s="1"/>
      <c r="S37" s="2" t="str">
        <f t="shared" si="24"/>
        <v/>
      </c>
      <c r="T37" s="86" t="str">
        <f t="shared" si="25"/>
        <v/>
      </c>
      <c r="U37" s="91" t="str">
        <f t="shared" si="26"/>
        <v/>
      </c>
      <c r="V37" s="1"/>
    </row>
    <row r="38" spans="2:22" x14ac:dyDescent="0.25">
      <c r="B38" s="181" t="s">
        <v>148</v>
      </c>
      <c r="C38" s="182" t="s">
        <v>57</v>
      </c>
      <c r="D38" s="168" t="s">
        <v>25</v>
      </c>
      <c r="E38" s="171">
        <v>1</v>
      </c>
      <c r="F38" s="82">
        <v>1200</v>
      </c>
      <c r="G38" s="91">
        <f t="shared" si="20"/>
        <v>1200</v>
      </c>
      <c r="I38" s="83"/>
      <c r="J38" s="84"/>
      <c r="K38" s="84"/>
      <c r="M38" s="83"/>
      <c r="N38" s="86" t="str">
        <f t="shared" si="21"/>
        <v/>
      </c>
      <c r="O38" s="172">
        <f t="shared" si="22"/>
        <v>0</v>
      </c>
      <c r="P38" s="83" t="str">
        <f t="shared" si="23"/>
        <v/>
      </c>
      <c r="R38" s="1"/>
      <c r="S38" s="2" t="str">
        <f t="shared" si="24"/>
        <v/>
      </c>
      <c r="T38" s="86" t="str">
        <f t="shared" si="25"/>
        <v/>
      </c>
      <c r="U38" s="91" t="str">
        <f t="shared" si="26"/>
        <v/>
      </c>
      <c r="V38" s="1"/>
    </row>
    <row r="39" spans="2:22" x14ac:dyDescent="0.25">
      <c r="B39" s="183"/>
      <c r="C39" s="182" t="s">
        <v>118</v>
      </c>
      <c r="D39" s="168" t="s">
        <v>25</v>
      </c>
      <c r="E39" s="179">
        <f>IF('שאלון למילוי הגוף-חובה'!$D$24&lt;31,3,IF('שאלון למילוי הגוף-חובה'!$D$24&lt;61,6,10))</f>
        <v>3</v>
      </c>
      <c r="F39" s="82">
        <v>200</v>
      </c>
      <c r="G39" s="91">
        <f t="shared" si="20"/>
        <v>600</v>
      </c>
      <c r="I39" s="83"/>
      <c r="J39" s="84"/>
      <c r="K39" s="84"/>
      <c r="M39" s="83"/>
      <c r="N39" s="86" t="str">
        <f t="shared" si="21"/>
        <v/>
      </c>
      <c r="O39" s="172">
        <f t="shared" si="22"/>
        <v>0</v>
      </c>
      <c r="P39" s="83" t="str">
        <f t="shared" si="23"/>
        <v/>
      </c>
      <c r="R39" s="1"/>
      <c r="S39" s="2" t="str">
        <f t="shared" si="24"/>
        <v/>
      </c>
      <c r="T39" s="86" t="str">
        <f t="shared" si="25"/>
        <v/>
      </c>
      <c r="U39" s="91" t="str">
        <f t="shared" si="26"/>
        <v/>
      </c>
      <c r="V39" s="1"/>
    </row>
    <row r="40" spans="2:22" x14ac:dyDescent="0.25">
      <c r="B40" s="183"/>
      <c r="C40" s="182" t="s">
        <v>120</v>
      </c>
      <c r="D40" s="168" t="s">
        <v>25</v>
      </c>
      <c r="E40" s="179">
        <f>IF('שאלון למילוי הגוף-חובה'!$D$24&lt;31,1,2)</f>
        <v>1</v>
      </c>
      <c r="F40" s="82">
        <v>200</v>
      </c>
      <c r="G40" s="91">
        <f t="shared" si="20"/>
        <v>200</v>
      </c>
      <c r="I40" s="83"/>
      <c r="J40" s="84"/>
      <c r="K40" s="84"/>
      <c r="M40" s="83"/>
      <c r="N40" s="86" t="str">
        <f t="shared" si="21"/>
        <v/>
      </c>
      <c r="O40" s="172">
        <f t="shared" si="22"/>
        <v>0</v>
      </c>
      <c r="P40" s="83" t="str">
        <f t="shared" si="23"/>
        <v/>
      </c>
      <c r="R40" s="1"/>
      <c r="S40" s="2" t="str">
        <f t="shared" si="24"/>
        <v/>
      </c>
      <c r="T40" s="86" t="str">
        <f t="shared" si="25"/>
        <v/>
      </c>
      <c r="U40" s="91" t="str">
        <f t="shared" si="26"/>
        <v/>
      </c>
      <c r="V40" s="1"/>
    </row>
    <row r="41" spans="2:22" x14ac:dyDescent="0.25">
      <c r="B41" s="184"/>
      <c r="C41" s="180" t="s">
        <v>99</v>
      </c>
      <c r="D41" s="89" t="s">
        <v>25</v>
      </c>
      <c r="E41" s="179">
        <f>IF('שאלון למילוי הגוף-חובה'!$D$24&lt;31,1,2)</f>
        <v>1</v>
      </c>
      <c r="F41" s="82">
        <v>3500</v>
      </c>
      <c r="G41" s="91">
        <f t="shared" si="20"/>
        <v>3500</v>
      </c>
      <c r="I41" s="83"/>
      <c r="J41" s="84"/>
      <c r="K41" s="84"/>
      <c r="M41" s="83"/>
      <c r="N41" s="86" t="str">
        <f t="shared" si="21"/>
        <v/>
      </c>
      <c r="O41" s="172">
        <f t="shared" si="22"/>
        <v>0</v>
      </c>
      <c r="P41" s="83" t="str">
        <f t="shared" si="23"/>
        <v/>
      </c>
      <c r="R41" s="1"/>
      <c r="S41" s="2" t="str">
        <f t="shared" si="24"/>
        <v/>
      </c>
      <c r="T41" s="86" t="str">
        <f t="shared" si="25"/>
        <v/>
      </c>
      <c r="U41" s="91" t="str">
        <f t="shared" si="26"/>
        <v/>
      </c>
      <c r="V41" s="1"/>
    </row>
    <row r="42" spans="2:22" x14ac:dyDescent="0.25">
      <c r="B42" s="185"/>
      <c r="C42" s="186" t="s">
        <v>119</v>
      </c>
      <c r="D42" s="89" t="s">
        <v>25</v>
      </c>
      <c r="E42" s="179">
        <f>IF('שאלון למילוי הגוף-חובה'!$D$24&lt;31,1,2)</f>
        <v>1</v>
      </c>
      <c r="F42" s="82">
        <v>1000</v>
      </c>
      <c r="G42" s="91">
        <f t="shared" si="20"/>
        <v>1000</v>
      </c>
      <c r="I42" s="83"/>
      <c r="J42" s="84"/>
      <c r="K42" s="84"/>
      <c r="M42" s="83"/>
      <c r="N42" s="86" t="str">
        <f t="shared" si="21"/>
        <v/>
      </c>
      <c r="O42" s="172">
        <f t="shared" si="22"/>
        <v>0</v>
      </c>
      <c r="P42" s="83" t="str">
        <f t="shared" si="23"/>
        <v/>
      </c>
      <c r="R42" s="1"/>
      <c r="S42" s="2" t="str">
        <f t="shared" si="24"/>
        <v/>
      </c>
      <c r="T42" s="86" t="str">
        <f t="shared" si="25"/>
        <v/>
      </c>
      <c r="U42" s="91" t="str">
        <f t="shared" si="26"/>
        <v/>
      </c>
      <c r="V42" s="1"/>
    </row>
    <row r="43" spans="2:22" x14ac:dyDescent="0.25">
      <c r="B43" s="232" t="s">
        <v>200</v>
      </c>
      <c r="C43" s="180" t="s">
        <v>72</v>
      </c>
      <c r="D43" s="89" t="s">
        <v>25</v>
      </c>
      <c r="E43" s="179">
        <f>IF('שאלון למילוי הגוף-חובה'!$D$24&lt;31,5,IF('שאלון למילוי הגוף-חובה'!$D$24&lt;61,8,10))</f>
        <v>5</v>
      </c>
      <c r="F43" s="82">
        <v>5000</v>
      </c>
      <c r="G43" s="91">
        <f>F43*E43</f>
        <v>25000</v>
      </c>
      <c r="I43" s="83"/>
      <c r="J43" s="84"/>
      <c r="K43" s="84"/>
      <c r="M43" s="83"/>
      <c r="N43" s="86" t="str">
        <f t="shared" si="21"/>
        <v/>
      </c>
      <c r="O43" s="172">
        <f t="shared" si="22"/>
        <v>0</v>
      </c>
      <c r="P43" s="83" t="str">
        <f t="shared" si="23"/>
        <v/>
      </c>
      <c r="R43" s="1"/>
      <c r="S43" s="2" t="str">
        <f t="shared" si="24"/>
        <v/>
      </c>
      <c r="T43" s="86" t="str">
        <f t="shared" si="25"/>
        <v/>
      </c>
      <c r="U43" s="91" t="str">
        <f t="shared" si="26"/>
        <v/>
      </c>
      <c r="V43" s="1"/>
    </row>
    <row r="44" spans="2:22" x14ac:dyDescent="0.25">
      <c r="B44" s="233"/>
      <c r="C44" s="180" t="s">
        <v>73</v>
      </c>
      <c r="D44" s="89" t="s">
        <v>25</v>
      </c>
      <c r="E44" s="179">
        <f>IF('שאלון למילוי הגוף-חובה'!$D$24&lt;31,1,2)</f>
        <v>1</v>
      </c>
      <c r="F44" s="82">
        <v>1500</v>
      </c>
      <c r="G44" s="91">
        <f t="shared" ref="G44:G46" si="27">F44*E44</f>
        <v>1500</v>
      </c>
      <c r="I44" s="83"/>
      <c r="J44" s="84"/>
      <c r="K44" s="84"/>
      <c r="M44" s="83"/>
      <c r="N44" s="86" t="str">
        <f t="shared" si="21"/>
        <v/>
      </c>
      <c r="O44" s="172">
        <f t="shared" si="22"/>
        <v>0</v>
      </c>
      <c r="P44" s="83" t="str">
        <f t="shared" si="23"/>
        <v/>
      </c>
      <c r="R44" s="1"/>
      <c r="S44" s="2" t="str">
        <f t="shared" si="24"/>
        <v/>
      </c>
      <c r="T44" s="86" t="str">
        <f t="shared" si="25"/>
        <v/>
      </c>
      <c r="U44" s="91" t="str">
        <f t="shared" si="26"/>
        <v/>
      </c>
      <c r="V44" s="1"/>
    </row>
    <row r="45" spans="2:22" x14ac:dyDescent="0.25">
      <c r="B45" s="233"/>
      <c r="C45" s="180" t="s">
        <v>157</v>
      </c>
      <c r="D45" s="89" t="s">
        <v>25</v>
      </c>
      <c r="E45" s="179">
        <f>IF('שאלון למילוי הגוף-חובה'!$D$24&lt;31,1,2)</f>
        <v>1</v>
      </c>
      <c r="F45" s="82">
        <v>5000</v>
      </c>
      <c r="G45" s="91">
        <f t="shared" si="27"/>
        <v>5000</v>
      </c>
      <c r="I45" s="83"/>
      <c r="J45" s="84"/>
      <c r="K45" s="84"/>
      <c r="M45" s="83"/>
      <c r="N45" s="86" t="str">
        <f t="shared" si="21"/>
        <v/>
      </c>
      <c r="O45" s="172">
        <f t="shared" si="22"/>
        <v>0</v>
      </c>
      <c r="P45" s="83" t="str">
        <f t="shared" si="23"/>
        <v/>
      </c>
      <c r="R45" s="1"/>
      <c r="S45" s="2" t="str">
        <f t="shared" si="24"/>
        <v/>
      </c>
      <c r="T45" s="86" t="str">
        <f t="shared" si="25"/>
        <v/>
      </c>
      <c r="U45" s="91" t="str">
        <f t="shared" si="26"/>
        <v/>
      </c>
      <c r="V45" s="1"/>
    </row>
    <row r="46" spans="2:22" x14ac:dyDescent="0.25">
      <c r="B46" s="233"/>
      <c r="C46" s="180" t="s">
        <v>74</v>
      </c>
      <c r="D46" s="89" t="s">
        <v>25</v>
      </c>
      <c r="E46" s="171">
        <v>1</v>
      </c>
      <c r="F46" s="179">
        <f>IF('שאלון למילוי הגוף-חובה'!$D$24&lt;31,7000,IF('שאלון למילוי הגוף-חובה'!$D$24&lt;61,10000,15000))</f>
        <v>7000</v>
      </c>
      <c r="G46" s="91">
        <f t="shared" si="27"/>
        <v>7000</v>
      </c>
      <c r="I46" s="83"/>
      <c r="J46" s="84"/>
      <c r="K46" s="84"/>
      <c r="M46" s="83"/>
      <c r="N46" s="86" t="str">
        <f t="shared" si="21"/>
        <v/>
      </c>
      <c r="O46" s="172">
        <f t="shared" si="22"/>
        <v>0</v>
      </c>
      <c r="P46" s="83" t="str">
        <f t="shared" si="23"/>
        <v/>
      </c>
      <c r="R46" s="1"/>
      <c r="S46" s="2" t="str">
        <f t="shared" si="24"/>
        <v/>
      </c>
      <c r="T46" s="86" t="str">
        <f t="shared" si="25"/>
        <v/>
      </c>
      <c r="U46" s="91" t="str">
        <f t="shared" si="26"/>
        <v/>
      </c>
      <c r="V46" s="1"/>
    </row>
    <row r="47" spans="2:22" x14ac:dyDescent="0.25">
      <c r="B47" s="229" t="s">
        <v>196</v>
      </c>
      <c r="C47" s="187" t="s">
        <v>66</v>
      </c>
      <c r="D47" s="88" t="s">
        <v>25</v>
      </c>
      <c r="E47" s="179">
        <f>IF('שאלון למילוי הגוף-חובה'!$D$24&lt;31,4,IF('שאלון למילוי הגוף-חובה'!$D$24&lt;61,8,10))</f>
        <v>4</v>
      </c>
      <c r="F47" s="82">
        <v>250</v>
      </c>
      <c r="G47" s="91">
        <f>F47*E47</f>
        <v>1000</v>
      </c>
      <c r="I47" s="83"/>
      <c r="J47" s="84"/>
      <c r="K47" s="84"/>
      <c r="M47" s="83"/>
      <c r="N47" s="86" t="str">
        <f t="shared" si="21"/>
        <v/>
      </c>
      <c r="O47" s="172">
        <f t="shared" si="22"/>
        <v>0</v>
      </c>
      <c r="P47" s="83" t="str">
        <f t="shared" si="23"/>
        <v/>
      </c>
      <c r="R47" s="1"/>
      <c r="S47" s="2" t="str">
        <f t="shared" si="24"/>
        <v/>
      </c>
      <c r="T47" s="86" t="str">
        <f t="shared" si="25"/>
        <v/>
      </c>
      <c r="U47" s="91" t="str">
        <f t="shared" si="26"/>
        <v/>
      </c>
      <c r="V47" s="1"/>
    </row>
    <row r="48" spans="2:22" x14ac:dyDescent="0.25">
      <c r="B48" s="230"/>
      <c r="C48" s="187" t="s">
        <v>67</v>
      </c>
      <c r="D48" s="88" t="s">
        <v>25</v>
      </c>
      <c r="E48" s="179">
        <f>IF('שאלון למילוי הגוף-חובה'!$D$24&lt;31,4,IF('שאלון למילוי הגוף-חובה'!$D$24&lt;61,8,10))</f>
        <v>4</v>
      </c>
      <c r="F48" s="82">
        <v>450</v>
      </c>
      <c r="G48" s="91">
        <f t="shared" ref="G48:G54" si="28">F48*E48</f>
        <v>1800</v>
      </c>
      <c r="I48" s="83"/>
      <c r="J48" s="84"/>
      <c r="K48" s="84"/>
      <c r="M48" s="83"/>
      <c r="N48" s="86" t="str">
        <f t="shared" si="21"/>
        <v/>
      </c>
      <c r="O48" s="172">
        <f t="shared" si="22"/>
        <v>0</v>
      </c>
      <c r="P48" s="83" t="str">
        <f t="shared" si="23"/>
        <v/>
      </c>
      <c r="R48" s="1"/>
      <c r="S48" s="2" t="str">
        <f t="shared" si="24"/>
        <v/>
      </c>
      <c r="T48" s="86" t="str">
        <f t="shared" si="25"/>
        <v/>
      </c>
      <c r="U48" s="91" t="str">
        <f t="shared" si="26"/>
        <v/>
      </c>
      <c r="V48" s="1"/>
    </row>
    <row r="49" spans="2:22" x14ac:dyDescent="0.25">
      <c r="B49" s="230"/>
      <c r="C49" s="187" t="s">
        <v>68</v>
      </c>
      <c r="D49" s="88" t="s">
        <v>25</v>
      </c>
      <c r="E49" s="179">
        <f>IF('שאלון למילוי הגוף-חובה'!$D$24&lt;31,4,IF('שאלון למילוי הגוף-חובה'!$D$24&lt;61,8,10))</f>
        <v>4</v>
      </c>
      <c r="F49" s="82">
        <v>200</v>
      </c>
      <c r="G49" s="91">
        <f t="shared" si="28"/>
        <v>800</v>
      </c>
      <c r="I49" s="83"/>
      <c r="J49" s="84"/>
      <c r="K49" s="84"/>
      <c r="M49" s="83"/>
      <c r="N49" s="86" t="str">
        <f t="shared" si="21"/>
        <v/>
      </c>
      <c r="O49" s="172">
        <f t="shared" si="22"/>
        <v>0</v>
      </c>
      <c r="P49" s="83" t="str">
        <f t="shared" si="23"/>
        <v/>
      </c>
      <c r="R49" s="1"/>
      <c r="S49" s="2" t="str">
        <f t="shared" si="24"/>
        <v/>
      </c>
      <c r="T49" s="86" t="str">
        <f t="shared" si="25"/>
        <v/>
      </c>
      <c r="U49" s="91" t="str">
        <f t="shared" si="26"/>
        <v/>
      </c>
      <c r="V49" s="1"/>
    </row>
    <row r="50" spans="2:22" x14ac:dyDescent="0.25">
      <c r="B50" s="230"/>
      <c r="C50" s="187" t="s">
        <v>69</v>
      </c>
      <c r="D50" s="88" t="s">
        <v>25</v>
      </c>
      <c r="E50" s="179">
        <f>IF('שאלון למילוי הגוף-חובה'!$D$24&lt;31,4,IF('שאלון למילוי הגוף-חובה'!$D$24&lt;61,8,10))</f>
        <v>4</v>
      </c>
      <c r="F50" s="87">
        <v>299.52</v>
      </c>
      <c r="G50" s="91">
        <f t="shared" si="28"/>
        <v>1198.08</v>
      </c>
      <c r="I50" s="83"/>
      <c r="J50" s="84"/>
      <c r="K50" s="84"/>
      <c r="M50" s="83"/>
      <c r="N50" s="86" t="str">
        <f t="shared" si="21"/>
        <v/>
      </c>
      <c r="O50" s="172">
        <f t="shared" si="22"/>
        <v>0</v>
      </c>
      <c r="P50" s="83" t="str">
        <f t="shared" si="23"/>
        <v/>
      </c>
      <c r="R50" s="1"/>
      <c r="S50" s="2" t="str">
        <f t="shared" si="24"/>
        <v/>
      </c>
      <c r="T50" s="86" t="str">
        <f t="shared" si="25"/>
        <v/>
      </c>
      <c r="U50" s="91" t="str">
        <f t="shared" si="26"/>
        <v/>
      </c>
      <c r="V50" s="1"/>
    </row>
    <row r="51" spans="2:22" x14ac:dyDescent="0.25">
      <c r="B51" s="230"/>
      <c r="C51" s="187" t="s">
        <v>70</v>
      </c>
      <c r="D51" s="88" t="s">
        <v>25</v>
      </c>
      <c r="E51" s="179">
        <f>IF('שאלון למילוי הגוף-חובה'!$D$24&lt;31,4,IF('שאלון למילוי הגוף-חובה'!$D$24&lt;61,8,10))</f>
        <v>4</v>
      </c>
      <c r="F51" s="87">
        <v>299.52</v>
      </c>
      <c r="G51" s="91">
        <f t="shared" si="28"/>
        <v>1198.08</v>
      </c>
      <c r="I51" s="83"/>
      <c r="J51" s="84"/>
      <c r="K51" s="84"/>
      <c r="M51" s="83"/>
      <c r="N51" s="86" t="str">
        <f t="shared" si="21"/>
        <v/>
      </c>
      <c r="O51" s="172">
        <f t="shared" si="22"/>
        <v>0</v>
      </c>
      <c r="P51" s="83" t="str">
        <f t="shared" si="23"/>
        <v/>
      </c>
      <c r="R51" s="1"/>
      <c r="S51" s="2" t="str">
        <f t="shared" si="24"/>
        <v/>
      </c>
      <c r="T51" s="86" t="str">
        <f t="shared" si="25"/>
        <v/>
      </c>
      <c r="U51" s="91" t="str">
        <f t="shared" si="26"/>
        <v/>
      </c>
      <c r="V51" s="1"/>
    </row>
    <row r="52" spans="2:22" x14ac:dyDescent="0.25">
      <c r="B52" s="231"/>
      <c r="C52" s="187" t="s">
        <v>71</v>
      </c>
      <c r="D52" s="88" t="s">
        <v>25</v>
      </c>
      <c r="E52" s="179">
        <f>IF('שאלון למילוי הגוף-חובה'!$D$24&lt;31,4,IF('שאלון למילוי הגוף-חובה'!$D$24&lt;61,8,10))</f>
        <v>4</v>
      </c>
      <c r="F52" s="87">
        <v>200</v>
      </c>
      <c r="G52" s="91">
        <f t="shared" si="28"/>
        <v>800</v>
      </c>
      <c r="I52" s="83"/>
      <c r="J52" s="84"/>
      <c r="K52" s="84"/>
      <c r="M52" s="83"/>
      <c r="N52" s="86" t="str">
        <f t="shared" si="21"/>
        <v/>
      </c>
      <c r="O52" s="172">
        <f t="shared" si="22"/>
        <v>0</v>
      </c>
      <c r="P52" s="83" t="str">
        <f t="shared" si="23"/>
        <v/>
      </c>
      <c r="R52" s="1"/>
      <c r="S52" s="2" t="str">
        <f t="shared" si="24"/>
        <v/>
      </c>
      <c r="T52" s="86" t="str">
        <f t="shared" si="25"/>
        <v/>
      </c>
      <c r="U52" s="91" t="str">
        <f t="shared" si="26"/>
        <v/>
      </c>
      <c r="V52" s="1"/>
    </row>
    <row r="53" spans="2:22" x14ac:dyDescent="0.25">
      <c r="B53" s="229" t="s">
        <v>197</v>
      </c>
      <c r="C53" s="187" t="s">
        <v>78</v>
      </c>
      <c r="D53" s="88" t="s">
        <v>25</v>
      </c>
      <c r="E53" s="166">
        <v>1</v>
      </c>
      <c r="F53" s="87">
        <v>7000</v>
      </c>
      <c r="G53" s="91">
        <f t="shared" si="28"/>
        <v>7000</v>
      </c>
      <c r="I53" s="83"/>
      <c r="J53" s="84"/>
      <c r="K53" s="84"/>
      <c r="M53" s="83"/>
      <c r="N53" s="86" t="str">
        <f t="shared" si="21"/>
        <v/>
      </c>
      <c r="O53" s="172">
        <f t="shared" si="22"/>
        <v>0</v>
      </c>
      <c r="P53" s="83" t="str">
        <f t="shared" si="23"/>
        <v/>
      </c>
      <c r="R53" s="1"/>
      <c r="S53" s="2" t="str">
        <f t="shared" si="24"/>
        <v/>
      </c>
      <c r="T53" s="86" t="str">
        <f t="shared" si="25"/>
        <v/>
      </c>
      <c r="U53" s="91" t="str">
        <f t="shared" si="26"/>
        <v/>
      </c>
      <c r="V53" s="1"/>
    </row>
    <row r="54" spans="2:22" x14ac:dyDescent="0.25">
      <c r="B54" s="230"/>
      <c r="C54" s="187" t="s">
        <v>79</v>
      </c>
      <c r="D54" s="88" t="s">
        <v>25</v>
      </c>
      <c r="E54" s="179">
        <f>IF('שאלון למילוי הגוף-חובה'!$D$24&lt;31,1,IF('שאלון למילוי הגוף-חובה'!$D$24&lt;61,2,3))</f>
        <v>1</v>
      </c>
      <c r="F54" s="87">
        <v>700</v>
      </c>
      <c r="G54" s="91">
        <f t="shared" si="28"/>
        <v>700</v>
      </c>
      <c r="I54" s="83"/>
      <c r="J54" s="84"/>
      <c r="K54" s="84"/>
      <c r="M54" s="83"/>
      <c r="N54" s="86" t="str">
        <f t="shared" si="21"/>
        <v/>
      </c>
      <c r="O54" s="172">
        <f t="shared" si="22"/>
        <v>0</v>
      </c>
      <c r="P54" s="83" t="str">
        <f t="shared" si="23"/>
        <v/>
      </c>
      <c r="R54" s="1"/>
      <c r="S54" s="2" t="str">
        <f t="shared" si="24"/>
        <v/>
      </c>
      <c r="T54" s="86" t="str">
        <f t="shared" si="25"/>
        <v/>
      </c>
      <c r="U54" s="91" t="str">
        <f t="shared" si="26"/>
        <v/>
      </c>
      <c r="V54" s="1"/>
    </row>
    <row r="55" spans="2:22" x14ac:dyDescent="0.25">
      <c r="B55" s="90" t="s">
        <v>58</v>
      </c>
      <c r="C55" s="187" t="s">
        <v>107</v>
      </c>
      <c r="D55" s="88" t="s">
        <v>63</v>
      </c>
      <c r="E55" s="166">
        <v>1</v>
      </c>
      <c r="F55" s="179">
        <f>IF('שאלון למילוי הגוף-חובה'!$D$24&lt;31,20000,IF('שאלון למילוי הגוף-חובה'!$D$24&lt;61,30000,50000))</f>
        <v>20000</v>
      </c>
      <c r="G55" s="91">
        <f t="shared" si="20"/>
        <v>20000</v>
      </c>
      <c r="I55" s="83"/>
      <c r="J55" s="84"/>
      <c r="K55" s="84"/>
      <c r="M55" s="83"/>
      <c r="N55" s="86" t="str">
        <f t="shared" si="21"/>
        <v/>
      </c>
      <c r="O55" s="172">
        <f t="shared" si="22"/>
        <v>0</v>
      </c>
      <c r="P55" s="83" t="str">
        <f t="shared" si="23"/>
        <v/>
      </c>
      <c r="R55" s="1"/>
      <c r="S55" s="2" t="str">
        <f t="shared" si="24"/>
        <v/>
      </c>
      <c r="T55" s="86" t="str">
        <f t="shared" si="25"/>
        <v/>
      </c>
      <c r="U55" s="91" t="str">
        <f t="shared" si="26"/>
        <v/>
      </c>
      <c r="V55" s="1"/>
    </row>
    <row r="56" spans="2:22" x14ac:dyDescent="0.25">
      <c r="B56" s="229" t="s">
        <v>198</v>
      </c>
      <c r="C56" s="187" t="s">
        <v>80</v>
      </c>
      <c r="D56" s="88" t="s">
        <v>25</v>
      </c>
      <c r="E56" s="166">
        <v>1</v>
      </c>
      <c r="F56" s="179">
        <f>IF('שאלון למילוי הגוף-חובה'!$D$24&lt;31,7500,IF('שאלון למילוי הגוף-חובה'!$D$24&lt;61,15000,18000))</f>
        <v>7500</v>
      </c>
      <c r="G56" s="91">
        <f>F56*E56</f>
        <v>7500</v>
      </c>
      <c r="I56" s="83"/>
      <c r="J56" s="84"/>
      <c r="K56" s="84"/>
      <c r="M56" s="83"/>
      <c r="N56" s="86" t="str">
        <f t="shared" si="21"/>
        <v/>
      </c>
      <c r="O56" s="172">
        <f t="shared" si="22"/>
        <v>0</v>
      </c>
      <c r="P56" s="83" t="str">
        <f t="shared" si="23"/>
        <v/>
      </c>
      <c r="R56" s="1"/>
      <c r="S56" s="2" t="str">
        <f t="shared" si="24"/>
        <v/>
      </c>
      <c r="T56" s="86" t="str">
        <f t="shared" si="25"/>
        <v/>
      </c>
      <c r="U56" s="91" t="str">
        <f t="shared" si="26"/>
        <v/>
      </c>
      <c r="V56" s="1"/>
    </row>
    <row r="57" spans="2:22" x14ac:dyDescent="0.25">
      <c r="B57" s="231"/>
      <c r="C57" s="187" t="s">
        <v>81</v>
      </c>
      <c r="D57" s="88" t="s">
        <v>25</v>
      </c>
      <c r="E57" s="179">
        <f>IF('שאלון למילוי הגוף-חובה'!$D$24&lt;61,10,15)</f>
        <v>10</v>
      </c>
      <c r="F57" s="87">
        <v>200</v>
      </c>
      <c r="G57" s="91">
        <f>F57*E57</f>
        <v>2000</v>
      </c>
      <c r="I57" s="83"/>
      <c r="J57" s="84"/>
      <c r="K57" s="84"/>
      <c r="M57" s="83"/>
      <c r="N57" s="86" t="str">
        <f t="shared" si="21"/>
        <v/>
      </c>
      <c r="O57" s="172">
        <f t="shared" si="22"/>
        <v>0</v>
      </c>
      <c r="P57" s="83" t="str">
        <f t="shared" si="23"/>
        <v/>
      </c>
      <c r="R57" s="1"/>
      <c r="S57" s="2" t="str">
        <f t="shared" si="24"/>
        <v/>
      </c>
      <c r="T57" s="86" t="str">
        <f t="shared" si="25"/>
        <v/>
      </c>
      <c r="U57" s="91" t="str">
        <f t="shared" si="26"/>
        <v/>
      </c>
      <c r="V57" s="1"/>
    </row>
    <row r="58" spans="2:22" x14ac:dyDescent="0.25">
      <c r="B58" s="229" t="s">
        <v>199</v>
      </c>
      <c r="C58" s="187" t="s">
        <v>75</v>
      </c>
      <c r="D58" s="88" t="s">
        <v>25</v>
      </c>
      <c r="E58" s="179">
        <f>IF('שאלון למילוי הגוף-חובה'!$D$24&lt;31,1,2)</f>
        <v>1</v>
      </c>
      <c r="F58" s="87">
        <v>1500</v>
      </c>
      <c r="G58" s="91">
        <f>F58*E58</f>
        <v>1500</v>
      </c>
      <c r="I58" s="83"/>
      <c r="J58" s="84"/>
      <c r="K58" s="84"/>
      <c r="M58" s="83"/>
      <c r="N58" s="86" t="str">
        <f t="shared" si="21"/>
        <v/>
      </c>
      <c r="O58" s="172">
        <f t="shared" si="22"/>
        <v>0</v>
      </c>
      <c r="P58" s="83" t="str">
        <f t="shared" si="23"/>
        <v/>
      </c>
      <c r="R58" s="1"/>
      <c r="S58" s="2" t="str">
        <f t="shared" si="24"/>
        <v/>
      </c>
      <c r="T58" s="86" t="str">
        <f t="shared" si="25"/>
        <v/>
      </c>
      <c r="U58" s="91" t="str">
        <f t="shared" si="26"/>
        <v/>
      </c>
      <c r="V58" s="1"/>
    </row>
    <row r="59" spans="2:22" x14ac:dyDescent="0.25">
      <c r="B59" s="230"/>
      <c r="C59" s="187" t="s">
        <v>76</v>
      </c>
      <c r="D59" s="88" t="s">
        <v>25</v>
      </c>
      <c r="E59" s="179">
        <f>IF('שאלון למילוי הגוף-חובה'!$D$24&lt;31,1,2)</f>
        <v>1</v>
      </c>
      <c r="F59" s="87">
        <v>800</v>
      </c>
      <c r="G59" s="91">
        <f>F59*E59</f>
        <v>800</v>
      </c>
      <c r="I59" s="83"/>
      <c r="J59" s="84"/>
      <c r="K59" s="84"/>
      <c r="M59" s="83"/>
      <c r="N59" s="86" t="str">
        <f t="shared" si="21"/>
        <v/>
      </c>
      <c r="O59" s="172">
        <f t="shared" si="22"/>
        <v>0</v>
      </c>
      <c r="P59" s="83" t="str">
        <f t="shared" si="23"/>
        <v/>
      </c>
      <c r="R59" s="1"/>
      <c r="S59" s="2" t="str">
        <f t="shared" si="24"/>
        <v/>
      </c>
      <c r="T59" s="86" t="str">
        <f t="shared" si="25"/>
        <v/>
      </c>
      <c r="U59" s="91" t="str">
        <f t="shared" si="26"/>
        <v/>
      </c>
      <c r="V59" s="1"/>
    </row>
    <row r="60" spans="2:22" x14ac:dyDescent="0.25">
      <c r="B60" s="230"/>
      <c r="C60" s="187" t="s">
        <v>77</v>
      </c>
      <c r="D60" s="88" t="s">
        <v>25</v>
      </c>
      <c r="E60" s="166">
        <v>1</v>
      </c>
      <c r="F60" s="179">
        <f>IF('שאלון למילוי הגוף-חובה'!$D$24&lt;31,2000,4000)</f>
        <v>2000</v>
      </c>
      <c r="G60" s="91">
        <f t="shared" si="20"/>
        <v>2000</v>
      </c>
      <c r="I60" s="83"/>
      <c r="J60" s="84"/>
      <c r="K60" s="84"/>
      <c r="M60" s="83"/>
      <c r="N60" s="86" t="str">
        <f t="shared" si="21"/>
        <v/>
      </c>
      <c r="O60" s="172">
        <f t="shared" si="22"/>
        <v>0</v>
      </c>
      <c r="P60" s="83" t="str">
        <f t="shared" si="23"/>
        <v/>
      </c>
      <c r="R60" s="1"/>
      <c r="S60" s="2" t="str">
        <f t="shared" si="24"/>
        <v/>
      </c>
      <c r="T60" s="86" t="str">
        <f t="shared" si="25"/>
        <v/>
      </c>
      <c r="U60" s="91" t="str">
        <f t="shared" si="26"/>
        <v/>
      </c>
      <c r="V60" s="1"/>
    </row>
    <row r="61" spans="2:22" x14ac:dyDescent="0.25">
      <c r="B61" s="231"/>
      <c r="C61" s="187" t="s">
        <v>60</v>
      </c>
      <c r="D61" s="88" t="s">
        <v>25</v>
      </c>
      <c r="E61" s="166">
        <v>1</v>
      </c>
      <c r="F61" s="179">
        <f>IF('שאלון למילוי הגוף-חובה'!$D$24&lt;31,15000,25000)</f>
        <v>15000</v>
      </c>
      <c r="G61" s="91">
        <f t="shared" si="20"/>
        <v>15000</v>
      </c>
      <c r="I61" s="83"/>
      <c r="J61" s="84"/>
      <c r="K61" s="84"/>
      <c r="M61" s="83"/>
      <c r="N61" s="86" t="str">
        <f t="shared" si="21"/>
        <v/>
      </c>
      <c r="O61" s="172">
        <f t="shared" si="22"/>
        <v>0</v>
      </c>
      <c r="P61" s="83" t="str">
        <f t="shared" si="23"/>
        <v/>
      </c>
      <c r="R61" s="1"/>
      <c r="S61" s="2" t="str">
        <f t="shared" si="24"/>
        <v/>
      </c>
      <c r="T61" s="86" t="str">
        <f t="shared" si="25"/>
        <v/>
      </c>
      <c r="U61" s="91" t="str">
        <f t="shared" si="26"/>
        <v/>
      </c>
      <c r="V61" s="1"/>
    </row>
    <row r="62" spans="2:22" x14ac:dyDescent="0.25">
      <c r="B62" s="229" t="s">
        <v>59</v>
      </c>
      <c r="C62" s="187" t="s">
        <v>61</v>
      </c>
      <c r="D62" s="90" t="s">
        <v>63</v>
      </c>
      <c r="E62" s="166">
        <v>1</v>
      </c>
      <c r="F62" s="179">
        <f>IF('שאלון למילוי הגוף-חובה'!$D$24&lt;31,20000,IF('שאלון למילוי הגוף-חובה'!$D$24&lt;61,25000,35000))</f>
        <v>20000</v>
      </c>
      <c r="G62" s="91">
        <f>F62*E62</f>
        <v>20000</v>
      </c>
      <c r="I62" s="83"/>
      <c r="J62" s="84"/>
      <c r="K62" s="84"/>
      <c r="M62" s="83"/>
      <c r="N62" s="86" t="str">
        <f t="shared" si="21"/>
        <v/>
      </c>
      <c r="O62" s="172">
        <f t="shared" si="22"/>
        <v>0</v>
      </c>
      <c r="P62" s="83" t="str">
        <f t="shared" si="23"/>
        <v/>
      </c>
      <c r="R62" s="1"/>
      <c r="S62" s="2" t="str">
        <f t="shared" si="24"/>
        <v/>
      </c>
      <c r="T62" s="86" t="str">
        <f t="shared" si="25"/>
        <v/>
      </c>
      <c r="U62" s="91" t="str">
        <f t="shared" si="26"/>
        <v/>
      </c>
      <c r="V62" s="1"/>
    </row>
    <row r="63" spans="2:22" x14ac:dyDescent="0.25">
      <c r="B63" s="230"/>
      <c r="C63" s="187" t="s">
        <v>62</v>
      </c>
      <c r="D63" s="90" t="s">
        <v>63</v>
      </c>
      <c r="E63" s="166">
        <v>1</v>
      </c>
      <c r="F63" s="179">
        <f>IF('שאלון למילוי הגוף-חובה'!$D$24&lt;31,10000,15000)</f>
        <v>10000</v>
      </c>
      <c r="G63" s="91">
        <f t="shared" si="20"/>
        <v>10000</v>
      </c>
      <c r="I63" s="83"/>
      <c r="J63" s="84"/>
      <c r="K63" s="84"/>
      <c r="M63" s="83"/>
      <c r="N63" s="86" t="str">
        <f t="shared" si="21"/>
        <v/>
      </c>
      <c r="O63" s="172">
        <f t="shared" si="22"/>
        <v>0</v>
      </c>
      <c r="P63" s="83" t="str">
        <f t="shared" si="23"/>
        <v/>
      </c>
      <c r="R63" s="1"/>
      <c r="S63" s="2" t="str">
        <f t="shared" si="24"/>
        <v/>
      </c>
      <c r="T63" s="86" t="str">
        <f t="shared" si="25"/>
        <v/>
      </c>
      <c r="U63" s="91" t="str">
        <f t="shared" si="26"/>
        <v/>
      </c>
      <c r="V63" s="1"/>
    </row>
    <row r="64" spans="2:22" s="40" customFormat="1" x14ac:dyDescent="0.25">
      <c r="B64" s="188"/>
      <c r="C64" s="187" t="s">
        <v>117</v>
      </c>
      <c r="D64" s="168" t="s">
        <v>63</v>
      </c>
      <c r="E64" s="171">
        <v>1</v>
      </c>
      <c r="F64" s="179">
        <f>IF('שאלון למילוי הגוף-חובה'!$D$24&lt;31,10000,15000)</f>
        <v>10000</v>
      </c>
      <c r="G64" s="82">
        <f t="shared" si="20"/>
        <v>10000</v>
      </c>
      <c r="I64" s="83"/>
      <c r="J64" s="84"/>
      <c r="K64" s="84"/>
      <c r="M64" s="83"/>
      <c r="N64" s="86" t="str">
        <f t="shared" si="21"/>
        <v/>
      </c>
      <c r="O64" s="172">
        <f t="shared" si="22"/>
        <v>0</v>
      </c>
      <c r="P64" s="83" t="str">
        <f t="shared" si="23"/>
        <v/>
      </c>
      <c r="Q64" s="47"/>
      <c r="R64" s="1"/>
      <c r="S64" s="2" t="str">
        <f t="shared" si="24"/>
        <v/>
      </c>
      <c r="T64" s="86" t="str">
        <f t="shared" si="25"/>
        <v/>
      </c>
      <c r="U64" s="91" t="str">
        <f t="shared" si="26"/>
        <v/>
      </c>
      <c r="V64" s="1"/>
    </row>
    <row r="65" spans="2:22" x14ac:dyDescent="0.25">
      <c r="B65" s="69" t="s">
        <v>4</v>
      </c>
      <c r="C65" s="163"/>
      <c r="D65" s="163"/>
      <c r="E65" s="163"/>
      <c r="F65" s="163"/>
      <c r="G65" s="91">
        <f>SUM(G36:G64)</f>
        <v>158296.16</v>
      </c>
      <c r="I65" s="173"/>
      <c r="J65" s="174"/>
      <c r="K65" s="175"/>
      <c r="M65" s="90"/>
      <c r="N65" s="86">
        <f>IF(G65=0,"",O65/G65-1)</f>
        <v>-1</v>
      </c>
      <c r="O65" s="176">
        <f>SUM(O36:O64)</f>
        <v>0</v>
      </c>
      <c r="P65" s="90"/>
      <c r="R65" s="90"/>
      <c r="S65" s="177"/>
      <c r="T65" s="86">
        <f>IF(G65=0,"",U65/G65-1)</f>
        <v>-1</v>
      </c>
      <c r="U65" s="178">
        <f>SUM(U36:U64)</f>
        <v>0</v>
      </c>
      <c r="V65" s="90"/>
    </row>
  </sheetData>
  <sheetProtection algorithmName="SHA-512" hashValue="SvD39iN5pNiDUDxnfhGS0iSxF99kbYkbtuFfTVyIO8GWzQPHSVQfqyZcSQU93BIL7X4auRcipgRV1uMC/dn3Zw==" saltValue="XczDMa/934gvNRpwmhg4Ww==" spinCount="100000" sheet="1" formatCells="0" formatColumns="0" formatRows="0"/>
  <mergeCells count="10">
    <mergeCell ref="B62:B63"/>
    <mergeCell ref="B5:B9"/>
    <mergeCell ref="B24:B27"/>
    <mergeCell ref="B28:B31"/>
    <mergeCell ref="B47:B52"/>
    <mergeCell ref="B43:B46"/>
    <mergeCell ref="B14:B19"/>
    <mergeCell ref="B53:B54"/>
    <mergeCell ref="B56:B57"/>
    <mergeCell ref="B58:B61"/>
  </mergeCells>
  <phoneticPr fontId="2" type="noConversion"/>
  <conditionalFormatting sqref="N36:N64 N5:N9">
    <cfRule type="cellIs" dxfId="94" priority="124" operator="greaterThan">
      <formula>0</formula>
    </cfRule>
  </conditionalFormatting>
  <conditionalFormatting sqref="N36:N64 N5:N9">
    <cfRule type="cellIs" dxfId="93" priority="120" operator="greaterThan">
      <formula>0</formula>
    </cfRule>
    <cfRule type="cellIs" dxfId="92" priority="121" operator="greaterThan">
      <formula>0</formula>
    </cfRule>
    <cfRule type="cellIs" dxfId="91" priority="123" operator="greaterThan">
      <formula>0</formula>
    </cfRule>
  </conditionalFormatting>
  <conditionalFormatting sqref="N36:N64 N5:N9">
    <cfRule type="cellIs" dxfId="90" priority="122" operator="greaterThan">
      <formula>0</formula>
    </cfRule>
  </conditionalFormatting>
  <conditionalFormatting sqref="N14:N19">
    <cfRule type="cellIs" dxfId="89" priority="119" operator="greaterThan">
      <formula>0</formula>
    </cfRule>
  </conditionalFormatting>
  <conditionalFormatting sqref="N14:N19">
    <cfRule type="cellIs" dxfId="88" priority="115" operator="greaterThan">
      <formula>0</formula>
    </cfRule>
    <cfRule type="cellIs" dxfId="87" priority="116" operator="greaterThan">
      <formula>0</formula>
    </cfRule>
    <cfRule type="cellIs" dxfId="86" priority="118" operator="greaterThan">
      <formula>0</formula>
    </cfRule>
  </conditionalFormatting>
  <conditionalFormatting sqref="N14:N19">
    <cfRule type="cellIs" dxfId="85" priority="117" operator="greaterThan">
      <formula>0</formula>
    </cfRule>
  </conditionalFormatting>
  <conditionalFormatting sqref="N24:N31">
    <cfRule type="cellIs" dxfId="84" priority="114" operator="greaterThan">
      <formula>0</formula>
    </cfRule>
  </conditionalFormatting>
  <conditionalFormatting sqref="N24:N31">
    <cfRule type="cellIs" dxfId="83" priority="110" operator="greaterThan">
      <formula>0</formula>
    </cfRule>
    <cfRule type="cellIs" dxfId="82" priority="111" operator="greaterThan">
      <formula>0</formula>
    </cfRule>
    <cfRule type="cellIs" dxfId="81" priority="113" operator="greaterThan">
      <formula>0</formula>
    </cfRule>
  </conditionalFormatting>
  <conditionalFormatting sqref="N24:N31">
    <cfRule type="cellIs" dxfId="80" priority="112" operator="greaterThan">
      <formula>0</formula>
    </cfRule>
  </conditionalFormatting>
  <conditionalFormatting sqref="T37:T64">
    <cfRule type="cellIs" dxfId="79" priority="99" operator="greaterThan">
      <formula>0</formula>
    </cfRule>
  </conditionalFormatting>
  <conditionalFormatting sqref="T37:T64">
    <cfRule type="cellIs" dxfId="78" priority="95" operator="greaterThan">
      <formula>0</formula>
    </cfRule>
    <cfRule type="cellIs" dxfId="77" priority="96" operator="greaterThan">
      <formula>0</formula>
    </cfRule>
    <cfRule type="cellIs" dxfId="76" priority="98" operator="greaterThan">
      <formula>0</formula>
    </cfRule>
  </conditionalFormatting>
  <conditionalFormatting sqref="T37:T64">
    <cfRule type="cellIs" dxfId="75" priority="97" operator="greaterThan">
      <formula>0</formula>
    </cfRule>
  </conditionalFormatting>
  <conditionalFormatting sqref="T5:T9">
    <cfRule type="cellIs" dxfId="74" priority="94" operator="greaterThan">
      <formula>0</formula>
    </cfRule>
  </conditionalFormatting>
  <conditionalFormatting sqref="T5:T9">
    <cfRule type="cellIs" dxfId="73" priority="90" operator="greaterThan">
      <formula>0</formula>
    </cfRule>
    <cfRule type="cellIs" dxfId="72" priority="91" operator="greaterThan">
      <formula>0</formula>
    </cfRule>
    <cfRule type="cellIs" dxfId="71" priority="93" operator="greaterThan">
      <formula>0</formula>
    </cfRule>
  </conditionalFormatting>
  <conditionalFormatting sqref="T5:T9">
    <cfRule type="cellIs" dxfId="70" priority="92" operator="greaterThan">
      <formula>0</formula>
    </cfRule>
  </conditionalFormatting>
  <conditionalFormatting sqref="T14:T19">
    <cfRule type="cellIs" dxfId="69" priority="89" operator="greaterThan">
      <formula>0</formula>
    </cfRule>
  </conditionalFormatting>
  <conditionalFormatting sqref="T14:T19">
    <cfRule type="cellIs" dxfId="68" priority="85" operator="greaterThan">
      <formula>0</formula>
    </cfRule>
    <cfRule type="cellIs" dxfId="67" priority="86" operator="greaterThan">
      <formula>0</formula>
    </cfRule>
    <cfRule type="cellIs" dxfId="66" priority="88" operator="greaterThan">
      <formula>0</formula>
    </cfRule>
  </conditionalFormatting>
  <conditionalFormatting sqref="T14:T19">
    <cfRule type="cellIs" dxfId="65" priority="87" operator="greaterThan">
      <formula>0</formula>
    </cfRule>
  </conditionalFormatting>
  <conditionalFormatting sqref="T24:T31">
    <cfRule type="cellIs" dxfId="64" priority="69" operator="greaterThan">
      <formula>0</formula>
    </cfRule>
  </conditionalFormatting>
  <conditionalFormatting sqref="T24:T31">
    <cfRule type="cellIs" dxfId="63" priority="65" operator="greaterThan">
      <formula>0</formula>
    </cfRule>
    <cfRule type="cellIs" dxfId="62" priority="66" operator="greaterThan">
      <formula>0</formula>
    </cfRule>
    <cfRule type="cellIs" dxfId="61" priority="68" operator="greaterThan">
      <formula>0</formula>
    </cfRule>
  </conditionalFormatting>
  <conditionalFormatting sqref="T24:T31">
    <cfRule type="cellIs" dxfId="60" priority="67" operator="greaterThan">
      <formula>0</formula>
    </cfRule>
  </conditionalFormatting>
  <conditionalFormatting sqref="N10">
    <cfRule type="cellIs" dxfId="59" priority="46" operator="greaterThan">
      <formula>0</formula>
    </cfRule>
    <cfRule type="cellIs" dxfId="58" priority="47" operator="greaterThan">
      <formula>0</formula>
    </cfRule>
    <cfRule type="cellIs" dxfId="57" priority="49" operator="greaterThan">
      <formula>0</formula>
    </cfRule>
  </conditionalFormatting>
  <conditionalFormatting sqref="N10">
    <cfRule type="cellIs" dxfId="56" priority="48" operator="greaterThan">
      <formula>0</formula>
    </cfRule>
  </conditionalFormatting>
  <conditionalFormatting sqref="N65">
    <cfRule type="cellIs" dxfId="55" priority="34" operator="greaterThan">
      <formula>0</formula>
    </cfRule>
    <cfRule type="cellIs" dxfId="54" priority="35" operator="greaterThan">
      <formula>0</formula>
    </cfRule>
    <cfRule type="cellIs" dxfId="53" priority="37" operator="greaterThan">
      <formula>0</formula>
    </cfRule>
  </conditionalFormatting>
  <conditionalFormatting sqref="N65">
    <cfRule type="cellIs" dxfId="52" priority="36" operator="greaterThan">
      <formula>0</formula>
    </cfRule>
  </conditionalFormatting>
  <conditionalFormatting sqref="N32">
    <cfRule type="cellIs" dxfId="51" priority="30" operator="greaterThan">
      <formula>0</formula>
    </cfRule>
    <cfRule type="cellIs" dxfId="50" priority="31" operator="greaterThan">
      <formula>0</formula>
    </cfRule>
    <cfRule type="cellIs" dxfId="49" priority="33" operator="greaterThan">
      <formula>0</formula>
    </cfRule>
  </conditionalFormatting>
  <conditionalFormatting sqref="N32">
    <cfRule type="cellIs" dxfId="48" priority="32" operator="greaterThan">
      <formula>0</formula>
    </cfRule>
  </conditionalFormatting>
  <conditionalFormatting sqref="N20">
    <cfRule type="cellIs" dxfId="47" priority="26" operator="greaterThan">
      <formula>0</formula>
    </cfRule>
    <cfRule type="cellIs" dxfId="46" priority="27" operator="greaterThan">
      <formula>0</formula>
    </cfRule>
    <cfRule type="cellIs" dxfId="45" priority="29" operator="greaterThan">
      <formula>0</formula>
    </cfRule>
  </conditionalFormatting>
  <conditionalFormatting sqref="N20">
    <cfRule type="cellIs" dxfId="44" priority="28" operator="greaterThan">
      <formula>0</formula>
    </cfRule>
  </conditionalFormatting>
  <conditionalFormatting sqref="T10">
    <cfRule type="cellIs" dxfId="43" priority="25" operator="greaterThan">
      <formula>0</formula>
    </cfRule>
  </conditionalFormatting>
  <conditionalFormatting sqref="T10">
    <cfRule type="cellIs" dxfId="42" priority="21" operator="greaterThan">
      <formula>0</formula>
    </cfRule>
    <cfRule type="cellIs" dxfId="41" priority="22" operator="greaterThan">
      <formula>0</formula>
    </cfRule>
    <cfRule type="cellIs" dxfId="40" priority="24" operator="greaterThan">
      <formula>0</formula>
    </cfRule>
  </conditionalFormatting>
  <conditionalFormatting sqref="T10">
    <cfRule type="cellIs" dxfId="39" priority="23" operator="greaterThan">
      <formula>0</formula>
    </cfRule>
  </conditionalFormatting>
  <conditionalFormatting sqref="T20">
    <cfRule type="cellIs" dxfId="38" priority="20" operator="greaterThan">
      <formula>0</formula>
    </cfRule>
  </conditionalFormatting>
  <conditionalFormatting sqref="T20">
    <cfRule type="cellIs" dxfId="37" priority="16" operator="greaterThan">
      <formula>0</formula>
    </cfRule>
    <cfRule type="cellIs" dxfId="36" priority="17" operator="greaterThan">
      <formula>0</formula>
    </cfRule>
    <cfRule type="cellIs" dxfId="35" priority="19" operator="greaterThan">
      <formula>0</formula>
    </cfRule>
  </conditionalFormatting>
  <conditionalFormatting sqref="T20">
    <cfRule type="cellIs" dxfId="34" priority="18" operator="greaterThan">
      <formula>0</formula>
    </cfRule>
  </conditionalFormatting>
  <conditionalFormatting sqref="T32">
    <cfRule type="cellIs" dxfId="33" priority="15" operator="greaterThan">
      <formula>0</formula>
    </cfRule>
  </conditionalFormatting>
  <conditionalFormatting sqref="T32">
    <cfRule type="cellIs" dxfId="32" priority="11" operator="greaterThan">
      <formula>0</formula>
    </cfRule>
    <cfRule type="cellIs" dxfId="31" priority="12" operator="greaterThan">
      <formula>0</formula>
    </cfRule>
    <cfRule type="cellIs" dxfId="30" priority="14" operator="greaterThan">
      <formula>0</formula>
    </cfRule>
  </conditionalFormatting>
  <conditionalFormatting sqref="T32">
    <cfRule type="cellIs" dxfId="29" priority="13" operator="greaterThan">
      <formula>0</formula>
    </cfRule>
  </conditionalFormatting>
  <conditionalFormatting sqref="T65">
    <cfRule type="cellIs" dxfId="28" priority="10" operator="greaterThan">
      <formula>0</formula>
    </cfRule>
  </conditionalFormatting>
  <conditionalFormatting sqref="T65">
    <cfRule type="cellIs" dxfId="27" priority="6" operator="greaterThan">
      <formula>0</formula>
    </cfRule>
    <cfRule type="cellIs" dxfId="26" priority="7" operator="greaterThan">
      <formula>0</formula>
    </cfRule>
    <cfRule type="cellIs" dxfId="25" priority="9" operator="greaterThan">
      <formula>0</formula>
    </cfRule>
  </conditionalFormatting>
  <conditionalFormatting sqref="T65">
    <cfRule type="cellIs" dxfId="24" priority="8" operator="greaterThan">
      <formula>0</formula>
    </cfRule>
  </conditionalFormatting>
  <conditionalFormatting sqref="T36">
    <cfRule type="cellIs" dxfId="23" priority="5" operator="greaterThan">
      <formula>0</formula>
    </cfRule>
  </conditionalFormatting>
  <conditionalFormatting sqref="T36">
    <cfRule type="cellIs" dxfId="22" priority="1" operator="greaterThan">
      <formula>0</formula>
    </cfRule>
    <cfRule type="cellIs" dxfId="21" priority="2" operator="greaterThan">
      <formula>0</formula>
    </cfRule>
    <cfRule type="cellIs" dxfId="20" priority="4" operator="greaterThan">
      <formula>0</formula>
    </cfRule>
  </conditionalFormatting>
  <conditionalFormatting sqref="T36">
    <cfRule type="cellIs" dxfId="19" priority="3" operator="greaterThan">
      <formula>0</formula>
    </cfRule>
  </conditionalFormatting>
  <dataValidations count="2">
    <dataValidation type="list" allowBlank="1" showInputMessage="1" showErrorMessage="1" sqref="R24:R31 R14:R19 R5:R9 R36:R64" xr:uid="{00000000-0002-0000-0300-000000000000}">
      <formula1>"מאשר, מאשר חלקי, לא מאשר"</formula1>
    </dataValidation>
    <dataValidation type="list" allowBlank="1" showInputMessage="1" showErrorMessage="1" sqref="J14:J19 J5:J9 J24:J31 J36:J64" xr:uid="{00000000-0002-0000-0300-000001000000}">
      <formula1>"שמיש-אך נדרש עוד, בלוי-נדרש להחליף"</formula1>
    </dataValidation>
  </dataValidations>
  <pageMargins left="0.70866141732283472" right="0.70866141732283472" top="0.74803149606299213" bottom="0.74803149606299213" header="0.31496062992125984" footer="0.31496062992125984"/>
  <pageSetup paperSize="9" scale="4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T37"/>
  <sheetViews>
    <sheetView rightToLeft="1" zoomScaleNormal="100" workbookViewId="0"/>
  </sheetViews>
  <sheetFormatPr defaultColWidth="9" defaultRowHeight="13.8" x14ac:dyDescent="0.25"/>
  <cols>
    <col min="1" max="1" width="2" style="42" customWidth="1"/>
    <col min="2" max="2" width="38" style="47" customWidth="1"/>
    <col min="3" max="3" width="14.3984375" style="48" customWidth="1"/>
    <col min="4" max="4" width="12.5" style="46" customWidth="1"/>
    <col min="5" max="5" width="9" style="46" customWidth="1"/>
    <col min="6" max="6" width="1.8984375" style="42" customWidth="1"/>
    <col min="7" max="7" width="6.59765625" style="42" customWidth="1"/>
    <col min="8" max="8" width="15.5" style="42" bestFit="1" customWidth="1"/>
    <col min="9" max="9" width="20.59765625" style="42" customWidth="1"/>
    <col min="10" max="10" width="2" style="42" customWidth="1"/>
    <col min="11" max="12" width="7.59765625" style="42" customWidth="1"/>
    <col min="13" max="13" width="8.69921875" style="46" customWidth="1"/>
    <col min="14" max="14" width="20.59765625" style="42" customWidth="1"/>
    <col min="15" max="15" width="2.8984375" style="42" customWidth="1"/>
    <col min="16" max="16" width="9" style="42"/>
    <col min="17" max="17" width="10.69921875" style="45" customWidth="1"/>
    <col min="18" max="18" width="7.59765625" style="42" customWidth="1"/>
    <col min="19" max="19" width="11.5" style="46" customWidth="1"/>
    <col min="20" max="20" width="20.59765625" style="42" customWidth="1"/>
    <col min="21" max="16384" width="9" style="42"/>
  </cols>
  <sheetData>
    <row r="1" spans="2:20" ht="15" x14ac:dyDescent="0.25">
      <c r="B1" s="40" t="str">
        <f>'הסבר תקן'!C10</f>
        <v xml:space="preserve">תקן הצטיידות למסגרות תעסוקה מוגנת   - ינואר 2024 </v>
      </c>
      <c r="C1" s="41"/>
      <c r="D1" s="23" t="str">
        <f>'שאלון למילוי הגוף-חובה'!$C$24</f>
        <v>כמות מקבלי השירות המתוכננת במסגרת:</v>
      </c>
      <c r="E1" s="68">
        <f>'שאלון למילוי הגוף-חובה'!$D$24</f>
        <v>0</v>
      </c>
      <c r="G1" s="43" t="str">
        <f>'ריהוט, אחסנה, חצר והצללה'!J1</f>
        <v>יש למלא את התאים בצבע ורוד בלבד</v>
      </c>
      <c r="H1" s="43"/>
      <c r="I1" s="43"/>
      <c r="K1" s="43" t="str">
        <f>'ריהוט, אחסנה, חצר והצללה'!J1</f>
        <v>יש למלא את התאים בצבע ורוד בלבד</v>
      </c>
      <c r="L1" s="44"/>
      <c r="M1" s="44"/>
      <c r="N1" s="43"/>
    </row>
    <row r="2" spans="2:20" x14ac:dyDescent="0.25">
      <c r="B2" s="47" t="s">
        <v>100</v>
      </c>
      <c r="D2" s="48"/>
    </row>
    <row r="3" spans="2:20" s="39" customFormat="1" x14ac:dyDescent="0.25">
      <c r="B3" s="217" t="s">
        <v>96</v>
      </c>
      <c r="C3" s="49"/>
      <c r="D3" s="49"/>
      <c r="E3" s="50"/>
      <c r="F3" s="42"/>
      <c r="G3" s="51" t="s">
        <v>104</v>
      </c>
      <c r="H3" s="52"/>
      <c r="I3" s="53"/>
      <c r="J3" s="42"/>
      <c r="K3" s="51" t="s">
        <v>10</v>
      </c>
      <c r="L3" s="52"/>
      <c r="M3" s="52"/>
      <c r="N3" s="53"/>
      <c r="O3" s="42"/>
      <c r="P3" s="51" t="s">
        <v>204</v>
      </c>
      <c r="Q3" s="54"/>
      <c r="R3" s="52"/>
      <c r="S3" s="52"/>
      <c r="T3" s="53"/>
    </row>
    <row r="4" spans="2:20" s="55" customFormat="1" ht="41.4" x14ac:dyDescent="0.25">
      <c r="B4" s="71" t="s">
        <v>38</v>
      </c>
      <c r="C4" s="71" t="s">
        <v>0</v>
      </c>
      <c r="D4" s="72" t="s">
        <v>39</v>
      </c>
      <c r="E4" s="72" t="s">
        <v>65</v>
      </c>
      <c r="F4" s="75"/>
      <c r="G4" s="71" t="s">
        <v>103</v>
      </c>
      <c r="H4" s="71" t="s">
        <v>105</v>
      </c>
      <c r="I4" s="71" t="s">
        <v>2</v>
      </c>
      <c r="J4" s="75"/>
      <c r="K4" s="71" t="s">
        <v>1</v>
      </c>
      <c r="L4" s="71" t="s">
        <v>3</v>
      </c>
      <c r="M4" s="76" t="s">
        <v>132</v>
      </c>
      <c r="N4" s="71" t="s">
        <v>2</v>
      </c>
      <c r="O4" s="75"/>
      <c r="P4" s="71" t="s">
        <v>205</v>
      </c>
      <c r="Q4" s="71" t="s">
        <v>11</v>
      </c>
      <c r="R4" s="71" t="s">
        <v>3</v>
      </c>
      <c r="S4" s="74" t="s">
        <v>108</v>
      </c>
      <c r="T4" s="71" t="s">
        <v>2</v>
      </c>
    </row>
    <row r="5" spans="2:20" ht="18" customHeight="1" x14ac:dyDescent="0.25">
      <c r="B5" s="56" t="s">
        <v>159</v>
      </c>
      <c r="C5" s="57">
        <v>2</v>
      </c>
      <c r="D5" s="5">
        <v>650</v>
      </c>
      <c r="E5" s="6">
        <f>D5*C5</f>
        <v>1300</v>
      </c>
      <c r="G5" s="7"/>
      <c r="H5" s="8"/>
      <c r="I5" s="223"/>
      <c r="K5" s="4"/>
      <c r="L5" s="58" t="str">
        <f>IFERROR(IF(K5=0,"",IF(OR(K5-C5&gt;0,K5-C5&lt;0), (K5-C5)/C5, "")), "")</f>
        <v/>
      </c>
      <c r="M5" s="59">
        <f>K5*D5</f>
        <v>0</v>
      </c>
      <c r="N5" s="4" t="str">
        <f>IF(K5&gt;C5,"נא להסביר חריגה כאן","")</f>
        <v/>
      </c>
      <c r="P5" s="1"/>
      <c r="Q5" s="2" t="str">
        <f t="shared" ref="Q5" si="0">IF(ISBLANK(P5),"",IF(P5="מאשר",K5,""))</f>
        <v/>
      </c>
      <c r="R5" s="58" t="str">
        <f t="shared" ref="R5" si="1">IFERROR(IF(Q5=0,"",IF(OR(Q5-C5&gt;0,Q5-C5&lt;0), (Q5-C5)/C5, "")), "")</f>
        <v/>
      </c>
      <c r="S5" s="3" t="str">
        <f t="shared" ref="S5" si="2">IFERROR(IF(Q5="","",Q5*D5),"")</f>
        <v/>
      </c>
      <c r="T5" s="1"/>
    </row>
    <row r="6" spans="2:20" ht="18" customHeight="1" x14ac:dyDescent="0.25">
      <c r="B6" s="56" t="s">
        <v>160</v>
      </c>
      <c r="C6" s="57">
        <v>6</v>
      </c>
      <c r="D6" s="5">
        <v>900</v>
      </c>
      <c r="E6" s="6">
        <f t="shared" ref="E6:E12" si="3">D6*C6</f>
        <v>5400</v>
      </c>
      <c r="G6" s="7"/>
      <c r="H6" s="8"/>
      <c r="I6" s="223"/>
      <c r="K6" s="4"/>
      <c r="L6" s="58" t="str">
        <f t="shared" ref="L6:L12" si="4">IFERROR(IF(K6=0,"",IF(OR(K6-C6&gt;0,K6-C6&lt;0), (K6-C6)/C6, "")), "")</f>
        <v/>
      </c>
      <c r="M6" s="59">
        <f t="shared" ref="M6:M12" si="5">K6*D6</f>
        <v>0</v>
      </c>
      <c r="N6" s="4" t="str">
        <f t="shared" ref="N6:N12" si="6">IF(K6&gt;C6,"נא להסביר חריגה כאן","")</f>
        <v/>
      </c>
      <c r="P6" s="1"/>
      <c r="Q6" s="2" t="str">
        <f t="shared" ref="Q6:Q12" si="7">IF(ISBLANK(P6),"",IF(P6="מאשר",K6,""))</f>
        <v/>
      </c>
      <c r="R6" s="58" t="str">
        <f t="shared" ref="R6:R12" si="8">IFERROR(IF(Q6=0,"",IF(OR(Q6-C6&gt;0,Q6-C6&lt;0), (Q6-C6)/C6, "")), "")</f>
        <v/>
      </c>
      <c r="S6" s="3" t="str">
        <f t="shared" ref="S6:S12" si="9">IFERROR(IF(Q6="","",Q6*D6),"")</f>
        <v/>
      </c>
      <c r="T6" s="1"/>
    </row>
    <row r="7" spans="2:20" ht="18" customHeight="1" x14ac:dyDescent="0.25">
      <c r="B7" s="56" t="s">
        <v>129</v>
      </c>
      <c r="C7" s="57">
        <v>3</v>
      </c>
      <c r="D7" s="5">
        <v>400</v>
      </c>
      <c r="E7" s="6">
        <f t="shared" si="3"/>
        <v>1200</v>
      </c>
      <c r="G7" s="7"/>
      <c r="H7" s="8"/>
      <c r="I7" s="223"/>
      <c r="K7" s="4"/>
      <c r="L7" s="58" t="str">
        <f t="shared" si="4"/>
        <v/>
      </c>
      <c r="M7" s="59">
        <f t="shared" si="5"/>
        <v>0</v>
      </c>
      <c r="N7" s="4" t="str">
        <f t="shared" si="6"/>
        <v/>
      </c>
      <c r="P7" s="1"/>
      <c r="Q7" s="2" t="str">
        <f t="shared" si="7"/>
        <v/>
      </c>
      <c r="R7" s="58" t="str">
        <f t="shared" si="8"/>
        <v/>
      </c>
      <c r="S7" s="3" t="str">
        <f t="shared" si="9"/>
        <v/>
      </c>
      <c r="T7" s="1"/>
    </row>
    <row r="8" spans="2:20" ht="18" customHeight="1" x14ac:dyDescent="0.25">
      <c r="B8" s="56" t="s">
        <v>161</v>
      </c>
      <c r="C8" s="57">
        <v>4</v>
      </c>
      <c r="D8" s="5">
        <v>450</v>
      </c>
      <c r="E8" s="6">
        <f t="shared" si="3"/>
        <v>1800</v>
      </c>
      <c r="G8" s="7"/>
      <c r="H8" s="8"/>
      <c r="I8" s="223"/>
      <c r="K8" s="4"/>
      <c r="L8" s="58" t="str">
        <f t="shared" si="4"/>
        <v/>
      </c>
      <c r="M8" s="59">
        <f t="shared" si="5"/>
        <v>0</v>
      </c>
      <c r="N8" s="4" t="str">
        <f t="shared" si="6"/>
        <v/>
      </c>
      <c r="P8" s="1"/>
      <c r="Q8" s="2" t="str">
        <f t="shared" si="7"/>
        <v/>
      </c>
      <c r="R8" s="58" t="str">
        <f t="shared" si="8"/>
        <v/>
      </c>
      <c r="S8" s="3" t="str">
        <f t="shared" si="9"/>
        <v/>
      </c>
      <c r="T8" s="1"/>
    </row>
    <row r="9" spans="2:20" ht="18" customHeight="1" x14ac:dyDescent="0.25">
      <c r="B9" s="56" t="s">
        <v>162</v>
      </c>
      <c r="C9" s="57">
        <v>3</v>
      </c>
      <c r="D9" s="5">
        <v>450</v>
      </c>
      <c r="E9" s="6">
        <f t="shared" si="3"/>
        <v>1350</v>
      </c>
      <c r="G9" s="7"/>
      <c r="H9" s="8"/>
      <c r="I9" s="223"/>
      <c r="K9" s="4"/>
      <c r="L9" s="58" t="str">
        <f t="shared" si="4"/>
        <v/>
      </c>
      <c r="M9" s="59">
        <f t="shared" si="5"/>
        <v>0</v>
      </c>
      <c r="N9" s="4" t="str">
        <f t="shared" si="6"/>
        <v/>
      </c>
      <c r="P9" s="1"/>
      <c r="Q9" s="2" t="str">
        <f t="shared" si="7"/>
        <v/>
      </c>
      <c r="R9" s="58" t="str">
        <f t="shared" si="8"/>
        <v/>
      </c>
      <c r="S9" s="3" t="str">
        <f t="shared" si="9"/>
        <v/>
      </c>
      <c r="T9" s="1"/>
    </row>
    <row r="10" spans="2:20" ht="18" customHeight="1" x14ac:dyDescent="0.25">
      <c r="B10" s="56" t="s">
        <v>163</v>
      </c>
      <c r="C10" s="57">
        <v>8</v>
      </c>
      <c r="D10" s="5">
        <v>150</v>
      </c>
      <c r="E10" s="6">
        <f t="shared" si="3"/>
        <v>1200</v>
      </c>
      <c r="G10" s="7"/>
      <c r="H10" s="8"/>
      <c r="I10" s="223"/>
      <c r="K10" s="4"/>
      <c r="L10" s="58" t="str">
        <f t="shared" si="4"/>
        <v/>
      </c>
      <c r="M10" s="59">
        <f t="shared" si="5"/>
        <v>0</v>
      </c>
      <c r="N10" s="4" t="str">
        <f t="shared" si="6"/>
        <v/>
      </c>
      <c r="P10" s="1"/>
      <c r="Q10" s="2" t="str">
        <f t="shared" si="7"/>
        <v/>
      </c>
      <c r="R10" s="58" t="str">
        <f t="shared" si="8"/>
        <v/>
      </c>
      <c r="S10" s="3" t="str">
        <f t="shared" si="9"/>
        <v/>
      </c>
      <c r="T10" s="1"/>
    </row>
    <row r="11" spans="2:20" ht="18" customHeight="1" x14ac:dyDescent="0.25">
      <c r="B11" s="56" t="s">
        <v>165</v>
      </c>
      <c r="C11" s="57">
        <v>2</v>
      </c>
      <c r="D11" s="5">
        <v>250</v>
      </c>
      <c r="E11" s="6">
        <f t="shared" si="3"/>
        <v>500</v>
      </c>
      <c r="G11" s="7"/>
      <c r="H11" s="8"/>
      <c r="I11" s="223"/>
      <c r="K11" s="4"/>
      <c r="L11" s="58" t="str">
        <f t="shared" si="4"/>
        <v/>
      </c>
      <c r="M11" s="59">
        <f t="shared" si="5"/>
        <v>0</v>
      </c>
      <c r="N11" s="4" t="str">
        <f t="shared" si="6"/>
        <v/>
      </c>
      <c r="P11" s="1"/>
      <c r="Q11" s="2" t="str">
        <f t="shared" si="7"/>
        <v/>
      </c>
      <c r="R11" s="58" t="str">
        <f t="shared" si="8"/>
        <v/>
      </c>
      <c r="S11" s="3" t="str">
        <f t="shared" si="9"/>
        <v/>
      </c>
      <c r="T11" s="1"/>
    </row>
    <row r="12" spans="2:20" ht="18" customHeight="1" x14ac:dyDescent="0.25">
      <c r="B12" s="56" t="s">
        <v>164</v>
      </c>
      <c r="C12" s="57">
        <v>5</v>
      </c>
      <c r="D12" s="5">
        <v>100</v>
      </c>
      <c r="E12" s="6">
        <f t="shared" si="3"/>
        <v>500</v>
      </c>
      <c r="G12" s="7"/>
      <c r="H12" s="8"/>
      <c r="I12" s="223"/>
      <c r="K12" s="4"/>
      <c r="L12" s="58" t="str">
        <f t="shared" si="4"/>
        <v/>
      </c>
      <c r="M12" s="59">
        <f t="shared" si="5"/>
        <v>0</v>
      </c>
      <c r="N12" s="4" t="str">
        <f t="shared" si="6"/>
        <v/>
      </c>
      <c r="P12" s="1"/>
      <c r="Q12" s="2" t="str">
        <f t="shared" si="7"/>
        <v/>
      </c>
      <c r="R12" s="58" t="str">
        <f t="shared" si="8"/>
        <v/>
      </c>
      <c r="S12" s="3" t="str">
        <f t="shared" si="9"/>
        <v/>
      </c>
      <c r="T12" s="1"/>
    </row>
    <row r="13" spans="2:20" s="39" customFormat="1" x14ac:dyDescent="0.25">
      <c r="B13" s="69" t="s">
        <v>4</v>
      </c>
      <c r="C13" s="49"/>
      <c r="D13" s="50"/>
      <c r="E13" s="60">
        <f>SUM(E5:E12)</f>
        <v>13250</v>
      </c>
      <c r="F13" s="42"/>
      <c r="G13" s="61"/>
      <c r="H13" s="62"/>
      <c r="I13" s="63"/>
      <c r="J13" s="42"/>
      <c r="K13" s="64"/>
      <c r="L13" s="86">
        <f>IF(E13=0,"",M13/E13-1)</f>
        <v>-1</v>
      </c>
      <c r="M13" s="65">
        <f>SUM(M5:M12)</f>
        <v>0</v>
      </c>
      <c r="N13" s="64"/>
      <c r="O13" s="42"/>
      <c r="P13" s="64"/>
      <c r="Q13" s="66"/>
      <c r="R13" s="86">
        <f>IF(E13=0,"",S13/E13-1)</f>
        <v>-1</v>
      </c>
      <c r="S13" s="65">
        <f>SUM(S5:S12)</f>
        <v>0</v>
      </c>
      <c r="T13" s="64"/>
    </row>
    <row r="16" spans="2:20" ht="15" x14ac:dyDescent="0.25">
      <c r="B16" s="67"/>
    </row>
    <row r="31" ht="16.5" customHeight="1" x14ac:dyDescent="0.25"/>
    <row r="33" ht="14.25" customHeight="1" x14ac:dyDescent="0.25"/>
    <row r="34" ht="14.25" customHeight="1" x14ac:dyDescent="0.25"/>
    <row r="37" ht="18.75" customHeight="1" x14ac:dyDescent="0.25"/>
  </sheetData>
  <sheetProtection algorithmName="SHA-512" hashValue="MJT98g2KSYM94fA6s+NmnCrGLdMG8mLRyN4wqRXUoKD30+ry0S72OwB2U+OoExxHu2MFLYCeISWN5N4EXHhwEA==" saltValue="dE9c3J0OtYLtb39avicDoA==" spinCount="100000" sheet="1" formatCells="0" formatColumns="0" formatRows="0"/>
  <conditionalFormatting sqref="L5:L12">
    <cfRule type="cellIs" dxfId="18" priority="33" operator="greaterThan">
      <formula>0</formula>
    </cfRule>
  </conditionalFormatting>
  <conditionalFormatting sqref="L5:L12">
    <cfRule type="cellIs" dxfId="17" priority="29" operator="greaterThan">
      <formula>0</formula>
    </cfRule>
    <cfRule type="cellIs" dxfId="16" priority="30" operator="greaterThan">
      <formula>0</formula>
    </cfRule>
    <cfRule type="cellIs" dxfId="15" priority="32" operator="greaterThan">
      <formula>0</formula>
    </cfRule>
  </conditionalFormatting>
  <conditionalFormatting sqref="L5:L12">
    <cfRule type="cellIs" dxfId="14" priority="31" operator="greaterThan">
      <formula>0</formula>
    </cfRule>
  </conditionalFormatting>
  <conditionalFormatting sqref="R5:R12">
    <cfRule type="cellIs" dxfId="13" priority="23" operator="greaterThan">
      <formula>0</formula>
    </cfRule>
  </conditionalFormatting>
  <conditionalFormatting sqref="R5:R12">
    <cfRule type="cellIs" dxfId="12" priority="19" operator="greaterThan">
      <formula>0</formula>
    </cfRule>
    <cfRule type="cellIs" dxfId="11" priority="20" operator="greaterThan">
      <formula>0</formula>
    </cfRule>
    <cfRule type="cellIs" dxfId="10" priority="22" operator="greaterThan">
      <formula>0</formula>
    </cfRule>
  </conditionalFormatting>
  <conditionalFormatting sqref="R5:R12">
    <cfRule type="cellIs" dxfId="9" priority="21" operator="greaterThan">
      <formula>0</formula>
    </cfRule>
  </conditionalFormatting>
  <conditionalFormatting sqref="R13">
    <cfRule type="cellIs" dxfId="8" priority="13" operator="greaterThan">
      <formula>0</formula>
    </cfRule>
  </conditionalFormatting>
  <conditionalFormatting sqref="R13">
    <cfRule type="cellIs" dxfId="7" priority="9" operator="greaterThan">
      <formula>0</formula>
    </cfRule>
    <cfRule type="cellIs" dxfId="6" priority="10" operator="greaterThan">
      <formula>0</formula>
    </cfRule>
    <cfRule type="cellIs" dxfId="5" priority="12" operator="greaterThan">
      <formula>0</formula>
    </cfRule>
  </conditionalFormatting>
  <conditionalFormatting sqref="R13">
    <cfRule type="cellIs" dxfId="4" priority="11" operator="greaterThan">
      <formula>0</formula>
    </cfRule>
  </conditionalFormatting>
  <conditionalFormatting sqref="L13">
    <cfRule type="cellIs" dxfId="3" priority="1" operator="greaterThan">
      <formula>0</formula>
    </cfRule>
    <cfRule type="cellIs" dxfId="2" priority="2" operator="greaterThan">
      <formula>0</formula>
    </cfRule>
    <cfRule type="cellIs" dxfId="1" priority="4" operator="greaterThan">
      <formula>0</formula>
    </cfRule>
  </conditionalFormatting>
  <conditionalFormatting sqref="L13">
    <cfRule type="cellIs" dxfId="0" priority="3" operator="greaterThan">
      <formula>0</formula>
    </cfRule>
  </conditionalFormatting>
  <dataValidations count="2">
    <dataValidation type="list" allowBlank="1" showInputMessage="1" showErrorMessage="1" sqref="P5:P12" xr:uid="{00000000-0002-0000-0400-000000000000}">
      <formula1>"מאשר, מאשר חלקי, לא מאשר"</formula1>
    </dataValidation>
    <dataValidation type="list" allowBlank="1" showInputMessage="1" showErrorMessage="1" sqref="H5:H12" xr:uid="{00000000-0002-0000-0400-000001000000}">
      <formula1>"שמיש-אך נדרש עוד, בלוי-נדרש להחליף"</formula1>
    </dataValidation>
  </dataValidations>
  <pageMargins left="0.70866141732283472" right="0.70866141732283472" top="0.74803149606299213" bottom="0.74803149606299213" header="0.31496062992125984" footer="0.31496062992125984"/>
  <pageSetup paperSize="9"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9"/>
  <sheetViews>
    <sheetView rightToLeft="1" zoomScaleNormal="100" workbookViewId="0"/>
  </sheetViews>
  <sheetFormatPr defaultColWidth="9" defaultRowHeight="13.8" x14ac:dyDescent="0.25"/>
  <cols>
    <col min="1" max="4" width="9" style="31"/>
    <col min="5" max="5" width="9" style="31" customWidth="1"/>
    <col min="6" max="6" width="9.5" style="31" customWidth="1"/>
    <col min="7" max="7" width="10.09765625" style="31" customWidth="1"/>
    <col min="8" max="8" width="10.19921875" style="31" customWidth="1"/>
    <col min="9" max="9" width="1.59765625" style="31" customWidth="1"/>
    <col min="10" max="10" width="8.8984375" style="31" customWidth="1"/>
    <col min="11" max="11" width="11.19921875" style="32" customWidth="1"/>
    <col min="12" max="12" width="10.5" style="33" customWidth="1"/>
    <col min="13" max="13" width="26.19921875" style="31" customWidth="1"/>
    <col min="14" max="16384" width="9" style="31"/>
  </cols>
  <sheetData>
    <row r="1" spans="1:13" x14ac:dyDescent="0.25">
      <c r="A1" s="34" t="str">
        <f>'הסבר תקן'!C10</f>
        <v xml:space="preserve">תקן הצטיידות למסגרות תעסוקה מוגנת   - ינואר 2024 </v>
      </c>
      <c r="G1" s="23" t="str">
        <f>'שאלון למילוי הגוף-חובה'!$C$24</f>
        <v>כמות מקבלי השירות המתוכננת במסגרת:</v>
      </c>
      <c r="H1" s="68">
        <f>'שאלון למילוי הגוף-חובה'!$D$24</f>
        <v>0</v>
      </c>
    </row>
    <row r="2" spans="1:13" x14ac:dyDescent="0.25">
      <c r="A2" s="218" t="str">
        <f>'[1]תוכן עיניינים'!B17</f>
        <v>ציוד נוסף שלא קיים בתקן</v>
      </c>
      <c r="B2" s="35"/>
      <c r="C2" s="35"/>
      <c r="D2" s="146" t="s">
        <v>169</v>
      </c>
      <c r="F2" s="35"/>
      <c r="G2" s="35"/>
      <c r="H2" s="35"/>
      <c r="I2" s="35"/>
      <c r="J2" s="35"/>
      <c r="K2" s="36"/>
      <c r="L2" s="37"/>
      <c r="M2" s="35"/>
    </row>
    <row r="3" spans="1:13" s="80" customFormat="1" ht="55.2" x14ac:dyDescent="0.25">
      <c r="A3" s="77" t="s">
        <v>151</v>
      </c>
      <c r="B3" s="77" t="s">
        <v>152</v>
      </c>
      <c r="C3" s="77" t="s">
        <v>113</v>
      </c>
      <c r="D3" s="77" t="s">
        <v>1</v>
      </c>
      <c r="E3" s="77" t="s">
        <v>153</v>
      </c>
      <c r="F3" s="77" t="s">
        <v>114</v>
      </c>
      <c r="G3" s="77" t="s">
        <v>166</v>
      </c>
      <c r="H3" s="77" t="s">
        <v>154</v>
      </c>
      <c r="I3" s="78"/>
      <c r="J3" s="71" t="s">
        <v>205</v>
      </c>
      <c r="K3" s="77" t="s">
        <v>11</v>
      </c>
      <c r="L3" s="79" t="s">
        <v>155</v>
      </c>
      <c r="M3" s="77" t="s">
        <v>206</v>
      </c>
    </row>
    <row r="4" spans="1:13" s="80" customFormat="1" x14ac:dyDescent="0.25">
      <c r="A4" s="234"/>
      <c r="B4" s="105"/>
      <c r="C4" s="105"/>
      <c r="D4" s="105"/>
      <c r="E4" s="105"/>
      <c r="F4" s="105"/>
      <c r="G4" s="105"/>
      <c r="H4" s="106">
        <f t="shared" ref="H4:H28" si="0">(MIN($E4:$G4))*D4</f>
        <v>0</v>
      </c>
      <c r="I4" s="78"/>
      <c r="J4" s="1"/>
      <c r="K4" s="2" t="str">
        <f>IF(ISBLANK(J4),"",IF(J4="מאשר",D4,""))</f>
        <v/>
      </c>
      <c r="L4" s="107" t="str">
        <f t="shared" ref="L4:L28" si="1">IFERROR(IF(J4="","",(MIN($E4:$G4))*K4),"")</f>
        <v/>
      </c>
      <c r="M4" s="1"/>
    </row>
    <row r="5" spans="1:13" s="80" customFormat="1" x14ac:dyDescent="0.25">
      <c r="A5" s="235"/>
      <c r="B5" s="105"/>
      <c r="C5" s="105"/>
      <c r="D5" s="105"/>
      <c r="E5" s="105"/>
      <c r="F5" s="105"/>
      <c r="G5" s="105"/>
      <c r="H5" s="106">
        <f t="shared" si="0"/>
        <v>0</v>
      </c>
      <c r="I5" s="78"/>
      <c r="J5" s="1"/>
      <c r="K5" s="2" t="str">
        <f t="shared" ref="K5:K28" si="2">IF(ISBLANK(J5),"",IF(J5="מאשר",D5,""))</f>
        <v/>
      </c>
      <c r="L5" s="107" t="str">
        <f t="shared" si="1"/>
        <v/>
      </c>
      <c r="M5" s="1"/>
    </row>
    <row r="6" spans="1:13" s="80" customFormat="1" x14ac:dyDescent="0.25">
      <c r="A6" s="235"/>
      <c r="B6" s="105"/>
      <c r="C6" s="105"/>
      <c r="D6" s="105"/>
      <c r="E6" s="105"/>
      <c r="F6" s="105"/>
      <c r="G6" s="105"/>
      <c r="H6" s="106">
        <f t="shared" si="0"/>
        <v>0</v>
      </c>
      <c r="I6" s="78"/>
      <c r="J6" s="1"/>
      <c r="K6" s="2" t="str">
        <f t="shared" si="2"/>
        <v/>
      </c>
      <c r="L6" s="107" t="str">
        <f t="shared" si="1"/>
        <v/>
      </c>
      <c r="M6" s="1"/>
    </row>
    <row r="7" spans="1:13" s="80" customFormat="1" x14ac:dyDescent="0.25">
      <c r="A7" s="235"/>
      <c r="B7" s="105"/>
      <c r="C7" s="105"/>
      <c r="D7" s="105"/>
      <c r="E7" s="105"/>
      <c r="F7" s="105"/>
      <c r="G7" s="105"/>
      <c r="H7" s="106">
        <f t="shared" si="0"/>
        <v>0</v>
      </c>
      <c r="I7" s="78"/>
      <c r="J7" s="1"/>
      <c r="K7" s="2" t="str">
        <f t="shared" si="2"/>
        <v/>
      </c>
      <c r="L7" s="107" t="str">
        <f t="shared" si="1"/>
        <v/>
      </c>
      <c r="M7" s="1"/>
    </row>
    <row r="8" spans="1:13" s="80" customFormat="1" x14ac:dyDescent="0.25">
      <c r="A8" s="236"/>
      <c r="B8" s="105"/>
      <c r="C8" s="105"/>
      <c r="D8" s="105"/>
      <c r="E8" s="105"/>
      <c r="F8" s="105"/>
      <c r="G8" s="105"/>
      <c r="H8" s="106">
        <f t="shared" si="0"/>
        <v>0</v>
      </c>
      <c r="I8" s="78"/>
      <c r="J8" s="1"/>
      <c r="K8" s="2" t="str">
        <f t="shared" si="2"/>
        <v/>
      </c>
      <c r="L8" s="107" t="str">
        <f t="shared" si="1"/>
        <v/>
      </c>
      <c r="M8" s="1"/>
    </row>
    <row r="9" spans="1:13" s="80" customFormat="1" x14ac:dyDescent="0.25">
      <c r="A9" s="234"/>
      <c r="B9" s="105"/>
      <c r="C9" s="105"/>
      <c r="D9" s="105"/>
      <c r="E9" s="105"/>
      <c r="F9" s="105"/>
      <c r="G9" s="105"/>
      <c r="H9" s="106">
        <f t="shared" si="0"/>
        <v>0</v>
      </c>
      <c r="I9" s="78"/>
      <c r="J9" s="1"/>
      <c r="K9" s="2" t="str">
        <f t="shared" si="2"/>
        <v/>
      </c>
      <c r="L9" s="107" t="str">
        <f t="shared" si="1"/>
        <v/>
      </c>
      <c r="M9" s="1"/>
    </row>
    <row r="10" spans="1:13" s="80" customFormat="1" x14ac:dyDescent="0.25">
      <c r="A10" s="235"/>
      <c r="B10" s="105"/>
      <c r="C10" s="105"/>
      <c r="D10" s="105"/>
      <c r="E10" s="105"/>
      <c r="F10" s="105"/>
      <c r="G10" s="105"/>
      <c r="H10" s="106">
        <f t="shared" si="0"/>
        <v>0</v>
      </c>
      <c r="I10" s="78"/>
      <c r="J10" s="1"/>
      <c r="K10" s="2" t="str">
        <f t="shared" si="2"/>
        <v/>
      </c>
      <c r="L10" s="107" t="str">
        <f t="shared" si="1"/>
        <v/>
      </c>
      <c r="M10" s="1"/>
    </row>
    <row r="11" spans="1:13" s="80" customFormat="1" x14ac:dyDescent="0.25">
      <c r="A11" s="235"/>
      <c r="B11" s="105"/>
      <c r="C11" s="105"/>
      <c r="D11" s="105"/>
      <c r="E11" s="105"/>
      <c r="F11" s="105"/>
      <c r="G11" s="105"/>
      <c r="H11" s="106">
        <f t="shared" si="0"/>
        <v>0</v>
      </c>
      <c r="I11" s="78"/>
      <c r="J11" s="1"/>
      <c r="K11" s="2" t="str">
        <f t="shared" si="2"/>
        <v/>
      </c>
      <c r="L11" s="107" t="str">
        <f t="shared" si="1"/>
        <v/>
      </c>
      <c r="M11" s="1"/>
    </row>
    <row r="12" spans="1:13" s="80" customFormat="1" x14ac:dyDescent="0.25">
      <c r="A12" s="235"/>
      <c r="B12" s="105"/>
      <c r="C12" s="105"/>
      <c r="D12" s="105"/>
      <c r="E12" s="105"/>
      <c r="F12" s="105"/>
      <c r="G12" s="105"/>
      <c r="H12" s="106">
        <f t="shared" si="0"/>
        <v>0</v>
      </c>
      <c r="I12" s="78"/>
      <c r="J12" s="1"/>
      <c r="K12" s="2" t="str">
        <f t="shared" si="2"/>
        <v/>
      </c>
      <c r="L12" s="107" t="str">
        <f t="shared" si="1"/>
        <v/>
      </c>
      <c r="M12" s="1"/>
    </row>
    <row r="13" spans="1:13" s="80" customFormat="1" x14ac:dyDescent="0.25">
      <c r="A13" s="236"/>
      <c r="B13" s="105"/>
      <c r="C13" s="105"/>
      <c r="D13" s="105"/>
      <c r="E13" s="105"/>
      <c r="F13" s="105"/>
      <c r="G13" s="105"/>
      <c r="H13" s="106">
        <f t="shared" si="0"/>
        <v>0</v>
      </c>
      <c r="I13" s="78"/>
      <c r="J13" s="1"/>
      <c r="K13" s="2" t="str">
        <f t="shared" si="2"/>
        <v/>
      </c>
      <c r="L13" s="107" t="str">
        <f t="shared" si="1"/>
        <v/>
      </c>
      <c r="M13" s="1"/>
    </row>
    <row r="14" spans="1:13" s="80" customFormat="1" x14ac:dyDescent="0.25">
      <c r="A14" s="234"/>
      <c r="B14" s="105"/>
      <c r="C14" s="105"/>
      <c r="D14" s="105"/>
      <c r="E14" s="105"/>
      <c r="F14" s="105"/>
      <c r="G14" s="105"/>
      <c r="H14" s="106">
        <f t="shared" si="0"/>
        <v>0</v>
      </c>
      <c r="I14" s="78"/>
      <c r="J14" s="1"/>
      <c r="K14" s="2" t="str">
        <f t="shared" si="2"/>
        <v/>
      </c>
      <c r="L14" s="107" t="str">
        <f t="shared" si="1"/>
        <v/>
      </c>
      <c r="M14" s="1"/>
    </row>
    <row r="15" spans="1:13" s="80" customFormat="1" x14ac:dyDescent="0.25">
      <c r="A15" s="235"/>
      <c r="B15" s="105"/>
      <c r="C15" s="105"/>
      <c r="D15" s="105"/>
      <c r="E15" s="105"/>
      <c r="F15" s="105"/>
      <c r="G15" s="105"/>
      <c r="H15" s="106">
        <f t="shared" si="0"/>
        <v>0</v>
      </c>
      <c r="I15" s="78"/>
      <c r="J15" s="1"/>
      <c r="K15" s="2" t="str">
        <f t="shared" si="2"/>
        <v/>
      </c>
      <c r="L15" s="107" t="str">
        <f t="shared" si="1"/>
        <v/>
      </c>
      <c r="M15" s="1"/>
    </row>
    <row r="16" spans="1:13" s="80" customFormat="1" x14ac:dyDescent="0.25">
      <c r="A16" s="235"/>
      <c r="B16" s="105"/>
      <c r="C16" s="105"/>
      <c r="D16" s="105"/>
      <c r="E16" s="105"/>
      <c r="F16" s="105"/>
      <c r="G16" s="105"/>
      <c r="H16" s="106">
        <f t="shared" si="0"/>
        <v>0</v>
      </c>
      <c r="I16" s="78"/>
      <c r="J16" s="1"/>
      <c r="K16" s="2" t="str">
        <f t="shared" si="2"/>
        <v/>
      </c>
      <c r="L16" s="107" t="str">
        <f t="shared" si="1"/>
        <v/>
      </c>
      <c r="M16" s="1"/>
    </row>
    <row r="17" spans="1:13" s="80" customFormat="1" x14ac:dyDescent="0.25">
      <c r="A17" s="235"/>
      <c r="B17" s="105"/>
      <c r="C17" s="105"/>
      <c r="D17" s="105"/>
      <c r="E17" s="105"/>
      <c r="F17" s="105"/>
      <c r="G17" s="105"/>
      <c r="H17" s="106">
        <f t="shared" si="0"/>
        <v>0</v>
      </c>
      <c r="I17" s="78"/>
      <c r="J17" s="1"/>
      <c r="K17" s="2" t="str">
        <f t="shared" si="2"/>
        <v/>
      </c>
      <c r="L17" s="107" t="str">
        <f t="shared" si="1"/>
        <v/>
      </c>
      <c r="M17" s="1"/>
    </row>
    <row r="18" spans="1:13" s="80" customFormat="1" x14ac:dyDescent="0.25">
      <c r="A18" s="236"/>
      <c r="B18" s="105"/>
      <c r="C18" s="105"/>
      <c r="D18" s="105"/>
      <c r="E18" s="105"/>
      <c r="F18" s="105"/>
      <c r="G18" s="105"/>
      <c r="H18" s="106">
        <f t="shared" si="0"/>
        <v>0</v>
      </c>
      <c r="I18" s="78"/>
      <c r="J18" s="1"/>
      <c r="K18" s="2" t="str">
        <f t="shared" si="2"/>
        <v/>
      </c>
      <c r="L18" s="107" t="str">
        <f t="shared" si="1"/>
        <v/>
      </c>
      <c r="M18" s="1"/>
    </row>
    <row r="19" spans="1:13" s="80" customFormat="1" x14ac:dyDescent="0.25">
      <c r="A19" s="234"/>
      <c r="B19" s="105"/>
      <c r="C19" s="105"/>
      <c r="D19" s="105"/>
      <c r="E19" s="105"/>
      <c r="F19" s="105"/>
      <c r="G19" s="105"/>
      <c r="H19" s="106">
        <f t="shared" si="0"/>
        <v>0</v>
      </c>
      <c r="I19" s="78"/>
      <c r="J19" s="1"/>
      <c r="K19" s="2" t="str">
        <f t="shared" si="2"/>
        <v/>
      </c>
      <c r="L19" s="107" t="str">
        <f t="shared" si="1"/>
        <v/>
      </c>
      <c r="M19" s="1"/>
    </row>
    <row r="20" spans="1:13" s="80" customFormat="1" x14ac:dyDescent="0.25">
      <c r="A20" s="235"/>
      <c r="B20" s="105"/>
      <c r="C20" s="105"/>
      <c r="D20" s="105"/>
      <c r="E20" s="105"/>
      <c r="F20" s="105"/>
      <c r="G20" s="105"/>
      <c r="H20" s="106">
        <f t="shared" si="0"/>
        <v>0</v>
      </c>
      <c r="I20" s="78"/>
      <c r="J20" s="1"/>
      <c r="K20" s="2" t="str">
        <f t="shared" si="2"/>
        <v/>
      </c>
      <c r="L20" s="107" t="str">
        <f t="shared" si="1"/>
        <v/>
      </c>
      <c r="M20" s="1"/>
    </row>
    <row r="21" spans="1:13" s="80" customFormat="1" x14ac:dyDescent="0.25">
      <c r="A21" s="235"/>
      <c r="B21" s="105"/>
      <c r="C21" s="105"/>
      <c r="D21" s="105"/>
      <c r="E21" s="105"/>
      <c r="F21" s="105"/>
      <c r="G21" s="105"/>
      <c r="H21" s="106">
        <f t="shared" si="0"/>
        <v>0</v>
      </c>
      <c r="I21" s="78"/>
      <c r="J21" s="1"/>
      <c r="K21" s="2" t="str">
        <f t="shared" si="2"/>
        <v/>
      </c>
      <c r="L21" s="107" t="str">
        <f t="shared" si="1"/>
        <v/>
      </c>
      <c r="M21" s="1"/>
    </row>
    <row r="22" spans="1:13" s="80" customFormat="1" x14ac:dyDescent="0.25">
      <c r="A22" s="235"/>
      <c r="B22" s="105"/>
      <c r="C22" s="105"/>
      <c r="D22" s="105"/>
      <c r="E22" s="105"/>
      <c r="F22" s="105"/>
      <c r="G22" s="105"/>
      <c r="H22" s="106">
        <f t="shared" si="0"/>
        <v>0</v>
      </c>
      <c r="I22" s="78"/>
      <c r="J22" s="1"/>
      <c r="K22" s="2" t="str">
        <f t="shared" si="2"/>
        <v/>
      </c>
      <c r="L22" s="107" t="str">
        <f t="shared" si="1"/>
        <v/>
      </c>
      <c r="M22" s="1"/>
    </row>
    <row r="23" spans="1:13" s="80" customFormat="1" x14ac:dyDescent="0.25">
      <c r="A23" s="236"/>
      <c r="B23" s="105"/>
      <c r="C23" s="105"/>
      <c r="D23" s="105"/>
      <c r="E23" s="105"/>
      <c r="F23" s="105"/>
      <c r="G23" s="105"/>
      <c r="H23" s="106">
        <f t="shared" si="0"/>
        <v>0</v>
      </c>
      <c r="I23" s="78"/>
      <c r="J23" s="1"/>
      <c r="K23" s="2" t="str">
        <f t="shared" si="2"/>
        <v/>
      </c>
      <c r="L23" s="107" t="str">
        <f t="shared" si="1"/>
        <v/>
      </c>
      <c r="M23" s="1"/>
    </row>
    <row r="24" spans="1:13" s="80" customFormat="1" x14ac:dyDescent="0.25">
      <c r="A24" s="234"/>
      <c r="B24" s="105"/>
      <c r="C24" s="105"/>
      <c r="D24" s="105"/>
      <c r="E24" s="105"/>
      <c r="F24" s="105"/>
      <c r="G24" s="105"/>
      <c r="H24" s="106">
        <f t="shared" si="0"/>
        <v>0</v>
      </c>
      <c r="I24" s="78"/>
      <c r="J24" s="1"/>
      <c r="K24" s="2" t="str">
        <f t="shared" si="2"/>
        <v/>
      </c>
      <c r="L24" s="107" t="str">
        <f t="shared" si="1"/>
        <v/>
      </c>
      <c r="M24" s="1"/>
    </row>
    <row r="25" spans="1:13" s="80" customFormat="1" x14ac:dyDescent="0.25">
      <c r="A25" s="235"/>
      <c r="B25" s="105"/>
      <c r="C25" s="105"/>
      <c r="D25" s="105"/>
      <c r="E25" s="105"/>
      <c r="F25" s="105"/>
      <c r="G25" s="105"/>
      <c r="H25" s="106">
        <f t="shared" si="0"/>
        <v>0</v>
      </c>
      <c r="I25" s="78"/>
      <c r="J25" s="1"/>
      <c r="K25" s="2" t="str">
        <f t="shared" si="2"/>
        <v/>
      </c>
      <c r="L25" s="107" t="str">
        <f t="shared" si="1"/>
        <v/>
      </c>
      <c r="M25" s="1"/>
    </row>
    <row r="26" spans="1:13" s="80" customFormat="1" x14ac:dyDescent="0.25">
      <c r="A26" s="235"/>
      <c r="B26" s="105"/>
      <c r="C26" s="105"/>
      <c r="D26" s="105"/>
      <c r="E26" s="105"/>
      <c r="F26" s="105"/>
      <c r="G26" s="105"/>
      <c r="H26" s="106">
        <f t="shared" si="0"/>
        <v>0</v>
      </c>
      <c r="I26" s="78"/>
      <c r="J26" s="1"/>
      <c r="K26" s="2" t="str">
        <f t="shared" si="2"/>
        <v/>
      </c>
      <c r="L26" s="107" t="str">
        <f t="shared" si="1"/>
        <v/>
      </c>
      <c r="M26" s="1"/>
    </row>
    <row r="27" spans="1:13" s="80" customFormat="1" x14ac:dyDescent="0.25">
      <c r="A27" s="235"/>
      <c r="B27" s="105"/>
      <c r="C27" s="105"/>
      <c r="D27" s="105"/>
      <c r="E27" s="105"/>
      <c r="F27" s="105"/>
      <c r="G27" s="105"/>
      <c r="H27" s="106">
        <f t="shared" si="0"/>
        <v>0</v>
      </c>
      <c r="I27" s="78"/>
      <c r="J27" s="1"/>
      <c r="K27" s="2" t="str">
        <f t="shared" si="2"/>
        <v/>
      </c>
      <c r="L27" s="107" t="str">
        <f t="shared" si="1"/>
        <v/>
      </c>
      <c r="M27" s="1"/>
    </row>
    <row r="28" spans="1:13" s="80" customFormat="1" x14ac:dyDescent="0.25">
      <c r="A28" s="236"/>
      <c r="B28" s="105"/>
      <c r="C28" s="105"/>
      <c r="D28" s="105"/>
      <c r="E28" s="105"/>
      <c r="F28" s="105"/>
      <c r="G28" s="105"/>
      <c r="H28" s="106">
        <f t="shared" si="0"/>
        <v>0</v>
      </c>
      <c r="I28" s="78"/>
      <c r="J28" s="1"/>
      <c r="K28" s="2" t="str">
        <f t="shared" si="2"/>
        <v/>
      </c>
      <c r="L28" s="107" t="str">
        <f t="shared" si="1"/>
        <v/>
      </c>
      <c r="M28" s="1"/>
    </row>
    <row r="29" spans="1:13" s="80" customFormat="1" x14ac:dyDescent="0.25">
      <c r="A29" s="108" t="s">
        <v>4</v>
      </c>
      <c r="B29" s="109"/>
      <c r="C29" s="109"/>
      <c r="D29" s="109"/>
      <c r="E29" s="109"/>
      <c r="F29" s="109"/>
      <c r="G29" s="110"/>
      <c r="H29" s="111">
        <f>SUM(H4:H28)</f>
        <v>0</v>
      </c>
      <c r="I29" s="112"/>
      <c r="J29" s="113"/>
      <c r="K29" s="114"/>
      <c r="L29" s="113">
        <f>SUM(L4:L28)</f>
        <v>0</v>
      </c>
      <c r="M29" s="113"/>
    </row>
  </sheetData>
  <sheetProtection algorithmName="SHA-512" hashValue="XMTaj3sGDkjPXWAElk5a7B0mbgvnRcHZ1g5pP/MFFtkpjjinCh5FkFZgPZK6yvyNuiKSrpE/KWzUHzFWcjk4OQ==" saltValue="X5VuC7nTzk6i0KgVc8ewlg==" spinCount="100000" sheet="1" formatCells="0" formatColumns="0"/>
  <mergeCells count="5">
    <mergeCell ref="A4:A8"/>
    <mergeCell ref="A9:A13"/>
    <mergeCell ref="A14:A18"/>
    <mergeCell ref="A19:A23"/>
    <mergeCell ref="A24:A28"/>
  </mergeCells>
  <dataValidations count="1">
    <dataValidation type="list" allowBlank="1" showInputMessage="1" showErrorMessage="1" sqref="J4:J28" xr:uid="{00000000-0002-0000-0500-000000000000}">
      <formula1>"מאשר, מאשר חלקי, לא מאשר"</formula1>
    </dataValidation>
  </dataValidations>
  <pageMargins left="0.70866141732283472" right="0.70866141732283472" top="0.74803149606299213" bottom="0.74803149606299213" header="0.31496062992125984" footer="0.31496062992125984"/>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E28"/>
  <sheetViews>
    <sheetView showGridLines="0" rightToLeft="1" zoomScaleNormal="100" workbookViewId="0"/>
  </sheetViews>
  <sheetFormatPr defaultColWidth="9" defaultRowHeight="15.6" x14ac:dyDescent="0.3"/>
  <cols>
    <col min="1" max="1" width="3.09765625" style="195" customWidth="1"/>
    <col min="2" max="2" width="9" style="206"/>
    <col min="3" max="3" width="33.8984375" style="206" customWidth="1"/>
    <col min="4" max="4" width="23.69921875" style="206" customWidth="1"/>
    <col min="5" max="5" width="13" style="195" customWidth="1"/>
    <col min="6" max="16384" width="9" style="195"/>
  </cols>
  <sheetData>
    <row r="2" spans="2:5" x14ac:dyDescent="0.3">
      <c r="B2" s="190"/>
      <c r="C2" s="191" t="str">
        <f>'הסבר תקן'!C10</f>
        <v xml:space="preserve">תקן הצטיידות למסגרות תעסוקה מוגנת   - ינואר 2024 </v>
      </c>
      <c r="D2" s="192"/>
      <c r="E2" s="194"/>
    </row>
    <row r="3" spans="2:5" ht="20.399999999999999" x14ac:dyDescent="0.35">
      <c r="B3" s="196"/>
      <c r="C3" s="197" t="s">
        <v>182</v>
      </c>
      <c r="D3" s="198"/>
      <c r="E3" s="200"/>
    </row>
    <row r="4" spans="2:5" x14ac:dyDescent="0.3">
      <c r="B4" s="196"/>
      <c r="C4" s="198"/>
      <c r="D4" s="198"/>
      <c r="E4" s="200"/>
    </row>
    <row r="5" spans="2:5" x14ac:dyDescent="0.3">
      <c r="B5" s="196"/>
      <c r="C5" s="198"/>
      <c r="D5" s="198"/>
      <c r="E5" s="200"/>
    </row>
    <row r="6" spans="2:5" x14ac:dyDescent="0.3">
      <c r="B6" s="196"/>
      <c r="C6" s="198"/>
      <c r="D6" s="198"/>
      <c r="E6" s="200"/>
    </row>
    <row r="7" spans="2:5" x14ac:dyDescent="0.3">
      <c r="B7" s="196"/>
      <c r="C7" s="198"/>
      <c r="D7" s="198"/>
      <c r="E7" s="200"/>
    </row>
    <row r="8" spans="2:5" s="206" customFormat="1" x14ac:dyDescent="0.3">
      <c r="B8" s="196"/>
      <c r="C8" s="198" t="str">
        <f>'שאלון למילוי הגוף-חובה'!C4</f>
        <v>תאריך הגשת הבקשה:</v>
      </c>
      <c r="D8" s="204">
        <f>'שאלון למילוי הגוף-חובה'!D4</f>
        <v>0</v>
      </c>
      <c r="E8" s="205"/>
    </row>
    <row r="9" spans="2:5" s="206" customFormat="1" x14ac:dyDescent="0.3">
      <c r="B9" s="196"/>
      <c r="C9" s="198" t="str">
        <f>'שאלון למילוי הגוף-חובה'!C5</f>
        <v>שם הגוף המבקש:</v>
      </c>
      <c r="D9" s="198">
        <f>IFERROR('שאלון למילוי הגוף-חובה'!D5, "")</f>
        <v>0</v>
      </c>
      <c r="E9" s="205"/>
    </row>
    <row r="10" spans="2:5" s="206" customFormat="1" x14ac:dyDescent="0.3">
      <c r="B10" s="196"/>
      <c r="C10" s="198" t="str">
        <f>'שאלון למילוי הגוף-חובה'!C13</f>
        <v>שם המסגרת:</v>
      </c>
      <c r="D10" s="198">
        <f>IFERROR('שאלון למילוי הגוף-חובה'!D13, "")</f>
        <v>0</v>
      </c>
      <c r="E10" s="205"/>
    </row>
    <row r="11" spans="2:5" s="206" customFormat="1" x14ac:dyDescent="0.3">
      <c r="B11" s="196"/>
      <c r="C11" s="198" t="str">
        <f>'שאלון למילוי הגוף-חובה'!C24</f>
        <v>כמות מקבלי השירות המתוכננת במסגרת:</v>
      </c>
      <c r="D11" s="198">
        <f>IFERROR('שאלון למילוי הגוף-חובה'!D24, "")</f>
        <v>0</v>
      </c>
      <c r="E11" s="205"/>
    </row>
    <row r="12" spans="2:5" s="206" customFormat="1" x14ac:dyDescent="0.3">
      <c r="B12" s="196"/>
      <c r="C12" s="198"/>
      <c r="D12" s="198"/>
      <c r="E12" s="205"/>
    </row>
    <row r="13" spans="2:5" s="206" customFormat="1" x14ac:dyDescent="0.3">
      <c r="B13" s="196"/>
      <c r="C13" s="225" t="s">
        <v>228</v>
      </c>
      <c r="D13" s="207"/>
      <c r="E13" s="205"/>
    </row>
    <row r="14" spans="2:5" s="206" customFormat="1" x14ac:dyDescent="0.3">
      <c r="B14" s="196"/>
      <c r="C14" s="208" t="s">
        <v>5</v>
      </c>
      <c r="D14" s="209" t="s">
        <v>227</v>
      </c>
      <c r="E14" s="205"/>
    </row>
    <row r="15" spans="2:5" s="206" customFormat="1" x14ac:dyDescent="0.3">
      <c r="B15" s="196"/>
      <c r="C15" s="208" t="s">
        <v>101</v>
      </c>
      <c r="D15" s="210">
        <f>'ריהוט, אחסנה, חצר והצללה'!P11</f>
        <v>0</v>
      </c>
      <c r="E15" s="205"/>
    </row>
    <row r="16" spans="2:5" s="206" customFormat="1" ht="14.25" customHeight="1" x14ac:dyDescent="0.3">
      <c r="B16" s="196"/>
      <c r="C16" s="209" t="s">
        <v>28</v>
      </c>
      <c r="D16" s="210">
        <f>'ריהוט, אחסנה, חצר והצללה'!P16</f>
        <v>0</v>
      </c>
      <c r="E16" s="205"/>
    </row>
    <row r="17" spans="2:5" s="206" customFormat="1" x14ac:dyDescent="0.3">
      <c r="B17" s="196"/>
      <c r="C17" s="209" t="s">
        <v>47</v>
      </c>
      <c r="D17" s="210">
        <f>'ריהוט, אחסנה, חצר והצללה'!P25</f>
        <v>0</v>
      </c>
      <c r="E17" s="205"/>
    </row>
    <row r="18" spans="2:5" s="206" customFormat="1" x14ac:dyDescent="0.3">
      <c r="B18" s="196"/>
      <c r="C18" s="209" t="s">
        <v>51</v>
      </c>
      <c r="D18" s="210">
        <f>'ריהוט, אחסנה, חצר והצללה'!P30</f>
        <v>0</v>
      </c>
      <c r="E18" s="205"/>
    </row>
    <row r="19" spans="2:5" s="206" customFormat="1" ht="14.25" customHeight="1" x14ac:dyDescent="0.3">
      <c r="B19" s="196"/>
      <c r="C19" s="209" t="s">
        <v>26</v>
      </c>
      <c r="D19" s="210">
        <f>'שינוע, מכונות מטבח ושונות'!O10</f>
        <v>0</v>
      </c>
      <c r="E19" s="205"/>
    </row>
    <row r="20" spans="2:5" s="206" customFormat="1" x14ac:dyDescent="0.3">
      <c r="B20" s="196"/>
      <c r="C20" s="209" t="s">
        <v>30</v>
      </c>
      <c r="D20" s="210">
        <f>'שינוע, מכונות מטבח ושונות'!O20</f>
        <v>0</v>
      </c>
      <c r="E20" s="205"/>
    </row>
    <row r="21" spans="2:5" s="206" customFormat="1" x14ac:dyDescent="0.3">
      <c r="B21" s="196"/>
      <c r="C21" s="209" t="s">
        <v>41</v>
      </c>
      <c r="D21" s="210">
        <f>'שינוע, מכונות מטבח ושונות'!O32</f>
        <v>0</v>
      </c>
      <c r="E21" s="205"/>
    </row>
    <row r="22" spans="2:5" s="206" customFormat="1" x14ac:dyDescent="0.3">
      <c r="B22" s="196"/>
      <c r="C22" s="209" t="s">
        <v>54</v>
      </c>
      <c r="D22" s="210">
        <f>'שינוע, מכונות מטבח ושונות'!O65</f>
        <v>0</v>
      </c>
      <c r="E22" s="205"/>
    </row>
    <row r="23" spans="2:5" s="206" customFormat="1" x14ac:dyDescent="0.3">
      <c r="B23" s="196"/>
      <c r="C23" s="209" t="s">
        <v>102</v>
      </c>
      <c r="D23" s="210">
        <f>'כלי עבודה'!M13</f>
        <v>0</v>
      </c>
      <c r="E23" s="205"/>
    </row>
    <row r="24" spans="2:5" s="206" customFormat="1" x14ac:dyDescent="0.3">
      <c r="B24" s="196"/>
      <c r="C24" s="209" t="s">
        <v>115</v>
      </c>
      <c r="D24" s="210">
        <f>'ציוד יעודי'!H29</f>
        <v>0</v>
      </c>
      <c r="E24" s="205"/>
    </row>
    <row r="25" spans="2:5" s="206" customFormat="1" x14ac:dyDescent="0.3">
      <c r="B25" s="196"/>
      <c r="C25" s="208" t="s">
        <v>12</v>
      </c>
      <c r="D25" s="210">
        <f>SUM(D15:D24)</f>
        <v>0</v>
      </c>
      <c r="E25" s="205"/>
    </row>
    <row r="26" spans="2:5" s="206" customFormat="1" x14ac:dyDescent="0.3">
      <c r="B26" s="196"/>
      <c r="C26" s="207"/>
      <c r="D26" s="207"/>
      <c r="E26" s="205"/>
    </row>
    <row r="27" spans="2:5" s="206" customFormat="1" x14ac:dyDescent="0.3">
      <c r="B27" s="196"/>
      <c r="C27" s="212"/>
      <c r="D27" s="198"/>
      <c r="E27" s="205"/>
    </row>
    <row r="28" spans="2:5" s="206" customFormat="1" x14ac:dyDescent="0.3">
      <c r="B28" s="213"/>
      <c r="C28" s="214"/>
      <c r="D28" s="214"/>
      <c r="E28" s="215"/>
    </row>
  </sheetData>
  <sheetProtection algorithmName="SHA-512" hashValue="HrzdOJxFYLf8x2T81Pm6w+muRNfXtH1+pqS8IdBC3zG1z8L4/+yPGV5qEf9BgepjOx6V4cS0SnpbiSK5SlCmtw==" saltValue="wQUJuKDWr6URzh6Q2rokzw==" spinCount="100000" sheet="1" formatCells="0" formatColumns="0" formatRows="0"/>
  <pageMargins left="0.70866141732283472" right="0.70866141732283472" top="0.74803149606299213" bottom="0.74803149606299213" header="0.31496062992125984" footer="0.31496062992125984"/>
  <pageSetup paperSize="9" scale="6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G46"/>
  <sheetViews>
    <sheetView showGridLines="0" rightToLeft="1" zoomScaleNormal="100" workbookViewId="0"/>
  </sheetViews>
  <sheetFormatPr defaultColWidth="9" defaultRowHeight="15.6" x14ac:dyDescent="0.3"/>
  <cols>
    <col min="1" max="1" width="3.09765625" style="195" customWidth="1"/>
    <col min="2" max="2" width="9" style="206"/>
    <col min="3" max="3" width="33.8984375" style="206" customWidth="1"/>
    <col min="4" max="4" width="23.69921875" style="206" customWidth="1"/>
    <col min="5" max="5" width="23.69921875" style="195" customWidth="1"/>
    <col min="6" max="6" width="11.09765625" style="195" bestFit="1" customWidth="1"/>
    <col min="7" max="7" width="17.3984375" style="195" customWidth="1"/>
    <col min="8" max="16384" width="9" style="195"/>
  </cols>
  <sheetData>
    <row r="2" spans="2:7" x14ac:dyDescent="0.3">
      <c r="B2" s="190"/>
      <c r="C2" s="191" t="str">
        <f>'הסבר תקן'!C10</f>
        <v xml:space="preserve">תקן הצטיידות למסגרות תעסוקה מוגנת   - ינואר 2024 </v>
      </c>
      <c r="D2" s="192"/>
      <c r="E2" s="193"/>
      <c r="F2" s="193"/>
      <c r="G2" s="194"/>
    </row>
    <row r="3" spans="2:7" ht="20.399999999999999" x14ac:dyDescent="0.35">
      <c r="B3" s="196"/>
      <c r="C3" s="197" t="s">
        <v>182</v>
      </c>
      <c r="D3" s="198"/>
      <c r="E3" s="199"/>
      <c r="F3" s="199"/>
      <c r="G3" s="200"/>
    </row>
    <row r="4" spans="2:7" x14ac:dyDescent="0.3">
      <c r="B4" s="196"/>
      <c r="C4" s="198"/>
      <c r="D4" s="198"/>
      <c r="E4" s="201" t="str">
        <f>'שאלון למילוי הגוף-חובה'!C21</f>
        <v>דירוג סוציואקונומי של הישוב:</v>
      </c>
      <c r="F4" s="202">
        <f>'שאלון למילוי הגוף-חובה'!D21</f>
        <v>0</v>
      </c>
      <c r="G4" s="200"/>
    </row>
    <row r="5" spans="2:7" x14ac:dyDescent="0.3">
      <c r="B5" s="196"/>
      <c r="C5" s="198"/>
      <c r="D5" s="198"/>
      <c r="E5" s="201" t="str">
        <f>'שאלון למילוי הגוף-חובה'!C22</f>
        <v>האם קו עימות?</v>
      </c>
      <c r="F5" s="202">
        <f>'שאלון למילוי הגוף-חובה'!D22</f>
        <v>0</v>
      </c>
      <c r="G5" s="200"/>
    </row>
    <row r="6" spans="2:7" x14ac:dyDescent="0.3">
      <c r="B6" s="196"/>
      <c r="C6" s="198"/>
      <c r="D6" s="198"/>
      <c r="E6" s="201" t="str">
        <f>'שאלון למילוי הגוף-חובה'!C28</f>
        <v>האם הגוף המבקש הינו גוף פרטי?</v>
      </c>
      <c r="F6" s="202">
        <f>'שאלון למילוי הגוף-חובה'!D28</f>
        <v>0</v>
      </c>
      <c r="G6" s="200"/>
    </row>
    <row r="7" spans="2:7" ht="31.2" x14ac:dyDescent="0.3">
      <c r="B7" s="196"/>
      <c r="C7" s="198"/>
      <c r="D7" s="198"/>
      <c r="E7" s="203" t="s">
        <v>201</v>
      </c>
      <c r="F7" s="141"/>
      <c r="G7" s="200"/>
    </row>
    <row r="8" spans="2:7" s="206" customFormat="1" x14ac:dyDescent="0.3">
      <c r="B8" s="196"/>
      <c r="C8" s="198" t="str">
        <f>'שאלון למילוי הגוף-חובה'!C4</f>
        <v>תאריך הגשת הבקשה:</v>
      </c>
      <c r="D8" s="204">
        <f>'שאלון למילוי הגוף-חובה'!D4</f>
        <v>0</v>
      </c>
      <c r="E8" s="198"/>
      <c r="F8" s="198"/>
      <c r="G8" s="205"/>
    </row>
    <row r="9" spans="2:7" s="206" customFormat="1" x14ac:dyDescent="0.3">
      <c r="B9" s="196"/>
      <c r="C9" s="198" t="str">
        <f>'שאלון למילוי הגוף-חובה'!C5</f>
        <v>שם הגוף המבקש:</v>
      </c>
      <c r="D9" s="198">
        <f>IFERROR('שאלון למילוי הגוף-חובה'!D5, "")</f>
        <v>0</v>
      </c>
      <c r="E9" s="198"/>
      <c r="F9" s="198"/>
      <c r="G9" s="205"/>
    </row>
    <row r="10" spans="2:7" s="206" customFormat="1" x14ac:dyDescent="0.3">
      <c r="B10" s="196"/>
      <c r="C10" s="198" t="str">
        <f>'שאלון למילוי הגוף-חובה'!C13</f>
        <v>שם המסגרת:</v>
      </c>
      <c r="D10" s="198">
        <f>IFERROR('שאלון למילוי הגוף-חובה'!D13, "")</f>
        <v>0</v>
      </c>
      <c r="E10" s="198"/>
      <c r="F10" s="198"/>
      <c r="G10" s="205"/>
    </row>
    <row r="11" spans="2:7" s="206" customFormat="1" x14ac:dyDescent="0.3">
      <c r="B11" s="196"/>
      <c r="C11" s="198" t="str">
        <f>'שאלון למילוי הגוף-חובה'!C24</f>
        <v>כמות מקבלי השירות המתוכננת במסגרת:</v>
      </c>
      <c r="D11" s="198">
        <f>IFERROR('שאלון למילוי הגוף-חובה'!D24, "")</f>
        <v>0</v>
      </c>
      <c r="E11" s="198"/>
      <c r="F11" s="198"/>
      <c r="G11" s="205"/>
    </row>
    <row r="12" spans="2:7" s="206" customFormat="1" x14ac:dyDescent="0.3">
      <c r="B12" s="196"/>
      <c r="C12" s="198"/>
      <c r="D12" s="198"/>
      <c r="E12" s="198"/>
      <c r="F12" s="198"/>
      <c r="G12" s="205"/>
    </row>
    <row r="13" spans="2:7" s="206" customFormat="1" x14ac:dyDescent="0.3">
      <c r="B13" s="196"/>
      <c r="C13" s="207" t="s">
        <v>131</v>
      </c>
      <c r="D13" s="207"/>
      <c r="E13" s="207"/>
      <c r="F13" s="198"/>
      <c r="G13" s="205"/>
    </row>
    <row r="14" spans="2:7" s="206" customFormat="1" x14ac:dyDescent="0.3">
      <c r="B14" s="196"/>
      <c r="C14" s="208" t="s">
        <v>5</v>
      </c>
      <c r="D14" s="209" t="s">
        <v>133</v>
      </c>
      <c r="E14" s="207"/>
      <c r="F14" s="198"/>
      <c r="G14" s="205"/>
    </row>
    <row r="15" spans="2:7" s="206" customFormat="1" x14ac:dyDescent="0.3">
      <c r="B15" s="196"/>
      <c r="C15" s="208" t="s">
        <v>101</v>
      </c>
      <c r="D15" s="210">
        <f>'ריהוט, אחסנה, חצר והצללה'!V11</f>
        <v>0</v>
      </c>
      <c r="E15" s="207"/>
      <c r="F15" s="198"/>
      <c r="G15" s="205"/>
    </row>
    <row r="16" spans="2:7" s="206" customFormat="1" ht="14.25" customHeight="1" x14ac:dyDescent="0.3">
      <c r="B16" s="196"/>
      <c r="C16" s="209" t="s">
        <v>28</v>
      </c>
      <c r="D16" s="210">
        <f>'ריהוט, אחסנה, חצר והצללה'!V16</f>
        <v>0</v>
      </c>
      <c r="E16" s="207"/>
      <c r="F16" s="198"/>
      <c r="G16" s="205"/>
    </row>
    <row r="17" spans="2:7" s="206" customFormat="1" x14ac:dyDescent="0.3">
      <c r="B17" s="196"/>
      <c r="C17" s="209" t="s">
        <v>47</v>
      </c>
      <c r="D17" s="210">
        <f>'ריהוט, אחסנה, חצר והצללה'!V25</f>
        <v>0</v>
      </c>
      <c r="E17" s="207"/>
      <c r="F17" s="198"/>
      <c r="G17" s="205"/>
    </row>
    <row r="18" spans="2:7" s="206" customFormat="1" x14ac:dyDescent="0.3">
      <c r="B18" s="196"/>
      <c r="C18" s="209" t="s">
        <v>51</v>
      </c>
      <c r="D18" s="210">
        <f>'ריהוט, אחסנה, חצר והצללה'!V30</f>
        <v>0</v>
      </c>
      <c r="E18" s="207"/>
      <c r="F18" s="198"/>
      <c r="G18" s="205"/>
    </row>
    <row r="19" spans="2:7" s="206" customFormat="1" ht="14.25" customHeight="1" x14ac:dyDescent="0.3">
      <c r="B19" s="196"/>
      <c r="C19" s="209" t="s">
        <v>26</v>
      </c>
      <c r="D19" s="210">
        <f>'שינוע, מכונות מטבח ושונות'!U10</f>
        <v>0</v>
      </c>
      <c r="E19" s="207"/>
      <c r="F19" s="198"/>
      <c r="G19" s="205"/>
    </row>
    <row r="20" spans="2:7" s="206" customFormat="1" x14ac:dyDescent="0.3">
      <c r="B20" s="196"/>
      <c r="C20" s="209" t="s">
        <v>30</v>
      </c>
      <c r="D20" s="210">
        <f>'שינוע, מכונות מטבח ושונות'!U20</f>
        <v>0</v>
      </c>
      <c r="E20" s="207"/>
      <c r="F20" s="198"/>
      <c r="G20" s="205"/>
    </row>
    <row r="21" spans="2:7" s="206" customFormat="1" x14ac:dyDescent="0.3">
      <c r="B21" s="196"/>
      <c r="C21" s="209" t="s">
        <v>41</v>
      </c>
      <c r="D21" s="210">
        <f>'שינוע, מכונות מטבח ושונות'!U32</f>
        <v>0</v>
      </c>
      <c r="E21" s="207"/>
      <c r="F21" s="198"/>
      <c r="G21" s="205"/>
    </row>
    <row r="22" spans="2:7" s="206" customFormat="1" x14ac:dyDescent="0.3">
      <c r="B22" s="196"/>
      <c r="C22" s="209" t="s">
        <v>54</v>
      </c>
      <c r="D22" s="210">
        <f>'שינוע, מכונות מטבח ושונות'!U65</f>
        <v>0</v>
      </c>
      <c r="E22" s="207"/>
      <c r="F22" s="198"/>
      <c r="G22" s="205"/>
    </row>
    <row r="23" spans="2:7" s="206" customFormat="1" x14ac:dyDescent="0.3">
      <c r="B23" s="196"/>
      <c r="C23" s="209" t="s">
        <v>102</v>
      </c>
      <c r="D23" s="210">
        <f>'כלי עבודה'!S13</f>
        <v>0</v>
      </c>
      <c r="E23" s="207"/>
      <c r="F23" s="198"/>
      <c r="G23" s="205"/>
    </row>
    <row r="24" spans="2:7" s="206" customFormat="1" x14ac:dyDescent="0.3">
      <c r="B24" s="196"/>
      <c r="C24" s="209" t="s">
        <v>115</v>
      </c>
      <c r="D24" s="210">
        <f>'ציוד יעודי'!L29</f>
        <v>0</v>
      </c>
      <c r="E24" s="207"/>
      <c r="F24" s="198"/>
      <c r="G24" s="205"/>
    </row>
    <row r="25" spans="2:7" s="206" customFormat="1" x14ac:dyDescent="0.3">
      <c r="B25" s="196"/>
      <c r="C25" s="208" t="s">
        <v>12</v>
      </c>
      <c r="D25" s="210">
        <f>SUM(D15:D24)</f>
        <v>0</v>
      </c>
      <c r="E25" s="207"/>
      <c r="F25" s="198"/>
      <c r="G25" s="205"/>
    </row>
    <row r="26" spans="2:7" s="206" customFormat="1" x14ac:dyDescent="0.3">
      <c r="B26" s="196"/>
      <c r="C26" s="207"/>
      <c r="D26" s="207"/>
      <c r="E26" s="211"/>
      <c r="F26" s="198"/>
      <c r="G26" s="205"/>
    </row>
    <row r="27" spans="2:7" s="206" customFormat="1" x14ac:dyDescent="0.3">
      <c r="B27" s="196"/>
      <c r="C27" s="96" t="s">
        <v>214</v>
      </c>
      <c r="D27" s="97"/>
      <c r="E27" s="102"/>
      <c r="F27" s="97"/>
      <c r="G27" s="205"/>
    </row>
    <row r="28" spans="2:7" s="206" customFormat="1" x14ac:dyDescent="0.3">
      <c r="B28" s="196"/>
      <c r="C28" s="98" t="s">
        <v>9</v>
      </c>
      <c r="D28" s="98" t="s">
        <v>8</v>
      </c>
      <c r="E28" s="103" t="s">
        <v>7</v>
      </c>
      <c r="F28" s="97"/>
      <c r="G28" s="205"/>
    </row>
    <row r="29" spans="2:7" s="206" customFormat="1" ht="14.25" customHeight="1" x14ac:dyDescent="0.3">
      <c r="B29" s="196"/>
      <c r="C29" s="99" t="s">
        <v>15</v>
      </c>
      <c r="D29" s="219">
        <f>IF(F6="כן",50%,IF(F5="כן",90%,IF(F4&lt;=4,90%,IF(F4&lt;8,80%,70%))))</f>
        <v>0.9</v>
      </c>
      <c r="E29" s="103">
        <f>$D$25*D29</f>
        <v>0</v>
      </c>
      <c r="F29" s="97"/>
      <c r="G29" s="205"/>
    </row>
    <row r="30" spans="2:7" s="206" customFormat="1" x14ac:dyDescent="0.3">
      <c r="B30" s="196"/>
      <c r="C30" s="98" t="s">
        <v>6</v>
      </c>
      <c r="D30" s="220">
        <f>100%-D29</f>
        <v>9.9999999999999978E-2</v>
      </c>
      <c r="E30" s="103">
        <f>$D$25*D30</f>
        <v>0</v>
      </c>
      <c r="F30" s="97"/>
      <c r="G30" s="205"/>
    </row>
    <row r="31" spans="2:7" s="206" customFormat="1" x14ac:dyDescent="0.3">
      <c r="B31" s="196"/>
      <c r="C31" s="98" t="s">
        <v>4</v>
      </c>
      <c r="D31" s="220">
        <f>SUM(D29:D30)</f>
        <v>1</v>
      </c>
      <c r="E31" s="103">
        <f>SUM(E29:E30)</f>
        <v>0</v>
      </c>
      <c r="F31" s="97"/>
      <c r="G31" s="205"/>
    </row>
    <row r="32" spans="2:7" s="206" customFormat="1" x14ac:dyDescent="0.3">
      <c r="B32" s="196"/>
      <c r="C32" s="97"/>
      <c r="D32" s="97"/>
      <c r="E32" s="102"/>
      <c r="F32" s="97"/>
      <c r="G32" s="205"/>
    </row>
    <row r="33" spans="2:7" s="206" customFormat="1" x14ac:dyDescent="0.3">
      <c r="B33" s="196"/>
      <c r="C33" s="96" t="s">
        <v>202</v>
      </c>
      <c r="D33" s="97"/>
      <c r="E33" s="102"/>
      <c r="F33" s="97"/>
      <c r="G33" s="205"/>
    </row>
    <row r="34" spans="2:7" s="206" customFormat="1" x14ac:dyDescent="0.3">
      <c r="B34" s="196"/>
      <c r="C34" s="98" t="s">
        <v>9</v>
      </c>
      <c r="D34" s="98" t="s">
        <v>8</v>
      </c>
      <c r="E34" s="103" t="s">
        <v>7</v>
      </c>
      <c r="F34" s="97"/>
      <c r="G34" s="205"/>
    </row>
    <row r="35" spans="2:7" s="206" customFormat="1" x14ac:dyDescent="0.3">
      <c r="B35" s="196"/>
      <c r="C35" s="99" t="s">
        <v>156</v>
      </c>
      <c r="D35" s="220" t="str">
        <f>IF($E$35=0,"",IF($E$29&lt;$E$35,"",ROUNDUP(E35/D$25,4)))</f>
        <v/>
      </c>
      <c r="E35" s="70">
        <f>F7</f>
        <v>0</v>
      </c>
      <c r="F35" s="97"/>
      <c r="G35" s="205"/>
    </row>
    <row r="36" spans="2:7" s="206" customFormat="1" x14ac:dyDescent="0.3">
      <c r="B36" s="196"/>
      <c r="C36" s="98" t="s">
        <v>6</v>
      </c>
      <c r="D36" s="220" t="str">
        <f>IF($E$35=0,"",IF($E$29&lt;$E$35,"",ROUNDDOWN(E36/D$25,4)))</f>
        <v/>
      </c>
      <c r="E36" s="103">
        <f>IF($E$29&lt;$E$35,"",(E37-E35))</f>
        <v>0</v>
      </c>
      <c r="F36" s="97"/>
      <c r="G36" s="205"/>
    </row>
    <row r="37" spans="2:7" s="206" customFormat="1" x14ac:dyDescent="0.3">
      <c r="B37" s="196"/>
      <c r="C37" s="98" t="s">
        <v>4</v>
      </c>
      <c r="D37" s="220">
        <f>IF($E$29&lt;$E$35,"",SUM(D35:D36))</f>
        <v>0</v>
      </c>
      <c r="E37" s="103">
        <f>IF($E$29&lt;$E$35,"",D25)</f>
        <v>0</v>
      </c>
      <c r="F37" s="97"/>
      <c r="G37" s="205"/>
    </row>
    <row r="38" spans="2:7" s="206" customFormat="1" x14ac:dyDescent="0.3">
      <c r="B38" s="196"/>
      <c r="C38" s="100"/>
      <c r="D38" s="101"/>
      <c r="E38" s="104"/>
      <c r="F38" s="97"/>
      <c r="G38" s="205"/>
    </row>
    <row r="39" spans="2:7" s="206" customFormat="1" ht="22.8" x14ac:dyDescent="0.4">
      <c r="B39" s="196"/>
      <c r="C39" s="153" t="s">
        <v>150</v>
      </c>
      <c r="D39" s="143"/>
      <c r="E39" s="144"/>
      <c r="F39" s="97"/>
      <c r="G39" s="205"/>
    </row>
    <row r="40" spans="2:7" s="206" customFormat="1" x14ac:dyDescent="0.3">
      <c r="B40" s="196"/>
      <c r="C40" s="142" t="s">
        <v>203</v>
      </c>
      <c r="D40" s="142"/>
      <c r="E40" s="145"/>
      <c r="F40" s="97"/>
      <c r="G40" s="205"/>
    </row>
    <row r="41" spans="2:7" s="206" customFormat="1" x14ac:dyDescent="0.3">
      <c r="B41" s="196"/>
      <c r="C41" s="148" t="s">
        <v>9</v>
      </c>
      <c r="D41" s="148" t="s">
        <v>8</v>
      </c>
      <c r="E41" s="149" t="s">
        <v>7</v>
      </c>
      <c r="F41" s="97"/>
      <c r="G41" s="205"/>
    </row>
    <row r="42" spans="2:7" s="206" customFormat="1" ht="20.399999999999999" x14ac:dyDescent="0.35">
      <c r="B42" s="196"/>
      <c r="C42" s="150" t="s">
        <v>15</v>
      </c>
      <c r="D42" s="221" t="str">
        <f>IF(E42=0,"",ROUNDUP(E42/D$25,4))</f>
        <v/>
      </c>
      <c r="E42" s="151">
        <f>MIN(E29,E35)</f>
        <v>0</v>
      </c>
      <c r="F42" s="96"/>
      <c r="G42" s="205"/>
    </row>
    <row r="43" spans="2:7" s="206" customFormat="1" ht="20.399999999999999" x14ac:dyDescent="0.35">
      <c r="B43" s="196"/>
      <c r="C43" s="152" t="s">
        <v>6</v>
      </c>
      <c r="D43" s="221" t="str">
        <f>IF(E43=0,"",ROUNDDOWN(E43/D$25,4))</f>
        <v/>
      </c>
      <c r="E43" s="151">
        <f>E44-E42</f>
        <v>0</v>
      </c>
      <c r="F43" s="97"/>
      <c r="G43" s="205"/>
    </row>
    <row r="44" spans="2:7" s="206" customFormat="1" ht="20.399999999999999" x14ac:dyDescent="0.35">
      <c r="B44" s="196"/>
      <c r="C44" s="152" t="s">
        <v>4</v>
      </c>
      <c r="D44" s="221" t="str">
        <f>IF(E44=0,"",SUM(D42:D43))</f>
        <v/>
      </c>
      <c r="E44" s="151">
        <f>D25</f>
        <v>0</v>
      </c>
      <c r="F44" s="97"/>
      <c r="G44" s="205"/>
    </row>
    <row r="45" spans="2:7" s="206" customFormat="1" x14ac:dyDescent="0.3">
      <c r="B45" s="196"/>
      <c r="C45" s="212"/>
      <c r="D45" s="198"/>
      <c r="E45" s="198"/>
      <c r="F45" s="198"/>
      <c r="G45" s="205"/>
    </row>
    <row r="46" spans="2:7" s="206" customFormat="1" x14ac:dyDescent="0.3">
      <c r="B46" s="213"/>
      <c r="C46" s="214"/>
      <c r="D46" s="214"/>
      <c r="E46" s="214"/>
      <c r="F46" s="214"/>
      <c r="G46" s="215"/>
    </row>
  </sheetData>
  <sheetProtection algorithmName="SHA-512" hashValue="Xn8ODiCeGYE4dQHqAPbFv5U+r9ZMrI329+ppg1a+7IyL7POUXkEek2cTd20V5PxI9b06A55LaaetxDkLxrkY1w==" saltValue="tfJCrKJd08qDP/mNm6hSuQ==" spinCount="100000" sheet="1" formatCells="0" formatColumns="0" formatRows="0"/>
  <pageMargins left="0.70866141732283472" right="0.70866141732283472" top="0.74803149606299213" bottom="0.74803149606299213" header="0.31496062992125984" footer="0.31496062992125984"/>
  <pageSetup paperSize="9" scale="6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D1529AD21386FA42AA3CE27B04FE89DC" ma:contentTypeVersion="1" ma:contentTypeDescription="צור מסמך חדש." ma:contentTypeScope="" ma:versionID="e85c7848f95c2019851c9895167729a4">
  <xsd:schema xmlns:xsd="http://www.w3.org/2001/XMLSchema" xmlns:xs="http://www.w3.org/2001/XMLSchema" xmlns:p="http://schemas.microsoft.com/office/2006/metadata/properties" xmlns:ns1="http://schemas.microsoft.com/sharepoint/v3" targetNamespace="http://schemas.microsoft.com/office/2006/metadata/properties" ma:root="true" ma:fieldsID="cbabf43de81bd42ae1d4b6e4e2a05da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284550B-022D-42F9-9EB1-96F8B58759F2}"/>
</file>

<file path=customXml/itemProps2.xml><?xml version="1.0" encoding="utf-8"?>
<ds:datastoreItem xmlns:ds="http://schemas.openxmlformats.org/officeDocument/2006/customXml" ds:itemID="{73809F65-A243-4646-948F-5684A25357CD}"/>
</file>

<file path=customXml/itemProps3.xml><?xml version="1.0" encoding="utf-8"?>
<ds:datastoreItem xmlns:ds="http://schemas.openxmlformats.org/officeDocument/2006/customXml" ds:itemID="{D44FC47A-01C1-4FCC-A85B-9EB9BAB5FB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8</vt:i4>
      </vt:variant>
      <vt:variant>
        <vt:lpstr>טווחים בעלי שם</vt:lpstr>
      </vt:variant>
      <vt:variant>
        <vt:i4>5</vt:i4>
      </vt:variant>
    </vt:vector>
  </HeadingPairs>
  <TitlesOfParts>
    <vt:vector size="13" baseType="lpstr">
      <vt:lpstr>הסבר תקן</vt:lpstr>
      <vt:lpstr>שאלון למילוי הגוף-חובה</vt:lpstr>
      <vt:lpstr>ריהוט, אחסנה, חצר והצללה</vt:lpstr>
      <vt:lpstr>שינוע, מכונות מטבח ושונות</vt:lpstr>
      <vt:lpstr>כלי עבודה</vt:lpstr>
      <vt:lpstr>ציוד יעודי</vt:lpstr>
      <vt:lpstr>סיכום בקשת הגוף</vt:lpstr>
      <vt:lpstr>פורמט לועדה- סיכום</vt:lpstr>
      <vt:lpstr>'כלי עבודה'!WPrint_Area_W</vt:lpstr>
      <vt:lpstr>'סיכום בקשת הגוף'!WPrint_Area_W</vt:lpstr>
      <vt:lpstr>'פורמט לועדה- סיכום'!WPrint_Area_W</vt:lpstr>
      <vt:lpstr>'ריהוט, אחסנה, חצר והצללה'!WPrint_Area_W</vt:lpstr>
      <vt:lpstr>'שינוע, מכונות מטבח ושונות'!WPrint_Area_W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Vadim Ignatiev</dc:creator>
  <cp:lastModifiedBy>Beni</cp:lastModifiedBy>
  <cp:lastPrinted>2023-12-07T14:12:33Z</cp:lastPrinted>
  <dcterms:created xsi:type="dcterms:W3CDTF">2018-03-26T06:46:28Z</dcterms:created>
  <dcterms:modified xsi:type="dcterms:W3CDTF">2024-02-06T10:26:10Z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0x010100D1529AD21386FA42AA3CE27B04FE89DC</vt:lpwstr>
  </property>
  <property fmtid="{D5CDD505-2E9C-101B-9397-08002B2CF9AE}" pid="4" name="Order">
    <vt:r8>9000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_AdHocReviewCycleID">
    <vt:i4>1247138830</vt:i4>
  </property>
  <property fmtid="{D5CDD505-2E9C-101B-9397-08002B2CF9AE}" pid="11" name="_EmailSubject">
    <vt:lpwstr>תקן מפעלים מוגנים מעודכן 2023</vt:lpwstr>
  </property>
  <property fmtid="{D5CDD505-2E9C-101B-9397-08002B2CF9AE}" pid="12" name="_AuthorEmail">
    <vt:lpwstr>Elisheva_k@snifim.blroot</vt:lpwstr>
  </property>
  <property fmtid="{D5CDD505-2E9C-101B-9397-08002B2CF9AE}" pid="13" name="_AuthorEmailDisplayName">
    <vt:lpwstr>אלישבע טוהר קינן</vt:lpwstr>
  </property>
  <property fmtid="{D5CDD505-2E9C-101B-9397-08002B2CF9AE}" pid="14" name="_ReviewingToolsShownOnce">
    <vt:lpwstr/>
  </property>
</Properties>
</file>